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ta" sheetId="1" r:id="rId4"/>
    <sheet state="visible" name="Diario" sheetId="2" r:id="rId5"/>
    <sheet state="visible" name="Semanal" sheetId="3" r:id="rId6"/>
    <sheet state="visible" name="Dashboard" sheetId="4" r:id="rId7"/>
    <sheet state="hidden" name="Listas" sheetId="5" r:id="rId8"/>
  </sheets>
  <definedNames>
    <definedName name="TiempoOpciones">Listas!$A$2:$A$16</definedName>
  </definedNames>
  <calcPr/>
  <extLst>
    <ext uri="GoogleSheetsCustomDataVersion2">
      <go:sheetsCustomData xmlns:go="http://customooxmlschemas.google.com/" r:id="rId9" roundtripDataChecksum="+lgtkTPJ95fdA0Pd4ek3L8GkmYJTgww5tDy6ofOsTbw="/>
    </ext>
  </extLst>
</workbook>
</file>

<file path=xl/sharedStrings.xml><?xml version="1.0" encoding="utf-8"?>
<sst xmlns="http://schemas.openxmlformats.org/spreadsheetml/2006/main" count="107" uniqueCount="63">
  <si>
    <t>Organizador de Meta → Microacciones (4–5 semanas)</t>
  </si>
  <si>
    <t>Lanzar recurso gratuito estratégico para captar leads calificados</t>
  </si>
  <si>
    <t>Recurso terminado + landing publicada + link activo</t>
  </si>
  <si>
    <t>Meta grande</t>
  </si>
  <si>
    <t>Lanzar recurso gratis: Planner de microacciones (versión mes)</t>
  </si>
  <si>
    <t>Instrucciones rápidas</t>
  </si>
  <si>
    <t>Resultado medible (qué existe al final)</t>
  </si>
  <si>
    <t>Plantilla lista + dashboard funcional + instrucciones</t>
  </si>
  <si>
    <t>1) Escribe tu meta, fecha inicio y elige 4 o 5 semanas.
2) En 'Diario' define microacciones, hora, minutos y estado.
3) Revisa 'Semanal' y el 'Dashboard' se actualiza solo.</t>
  </si>
  <si>
    <t>Fecha inicio</t>
  </si>
  <si>
    <t>Semanas (4 o 5)</t>
  </si>
  <si>
    <t>Fecha límite (auto)</t>
  </si>
  <si>
    <t>Duración (días)</t>
  </si>
  <si>
    <t>Notas</t>
  </si>
  <si>
    <t>Microacciones diarias</t>
  </si>
  <si>
    <t>Semana</t>
  </si>
  <si>
    <t>Día</t>
  </si>
  <si>
    <t>Fecha</t>
  </si>
  <si>
    <t>Microacción</t>
  </si>
  <si>
    <t>Tiempo (min)</t>
  </si>
  <si>
    <t>Estado</t>
  </si>
  <si>
    <t>% Avance</t>
  </si>
  <si>
    <t>Minutos_total</t>
  </si>
  <si>
    <t>Lunes</t>
  </si>
  <si>
    <t>Definir estructura final del recurso</t>
  </si>
  <si>
    <t>Terminado</t>
  </si>
  <si>
    <t>Martes</t>
  </si>
  <si>
    <t>Diseñar formato Diario (31 días) y validaciones</t>
  </si>
  <si>
    <t>Miércoles</t>
  </si>
  <si>
    <t>Arreglar dashboard (gráfica + KPIs)</t>
  </si>
  <si>
    <t>En revisión</t>
  </si>
  <si>
    <t>Jueves</t>
  </si>
  <si>
    <t>Crear hoja de instrucciones (1 página)</t>
  </si>
  <si>
    <t>En proceso</t>
  </si>
  <si>
    <t>Viernes</t>
  </si>
  <si>
    <t>Pulir colores de marca (sin verde)</t>
  </si>
  <si>
    <t>Sábado</t>
  </si>
  <si>
    <t>Test rápido: edición en 5 minutos</t>
  </si>
  <si>
    <t>Domingo</t>
  </si>
  <si>
    <t>Ajustar rangos Semanal para 31 días</t>
  </si>
  <si>
    <t>Prellenado ejemplo para el usuario</t>
  </si>
  <si>
    <t>Revisión final: errores y consistencia</t>
  </si>
  <si>
    <t>Exportar y validar descarga</t>
  </si>
  <si>
    <t>Control semanal</t>
  </si>
  <si>
    <t>Inicio</t>
  </si>
  <si>
    <t>Fin</t>
  </si>
  <si>
    <t>Planeadas</t>
  </si>
  <si>
    <t>Terminadas</t>
  </si>
  <si>
    <t>Minutos</t>
  </si>
  <si>
    <t>Horas</t>
  </si>
  <si>
    <t>Eficiencia</t>
  </si>
  <si>
    <t>Dashboard</t>
  </si>
  <si>
    <t>Microacciones planeadas</t>
  </si>
  <si>
    <t>Progreso visual</t>
  </si>
  <si>
    <t>Microacciones terminadas</t>
  </si>
  <si>
    <t>Conteo</t>
  </si>
  <si>
    <t>% avance total (meta)</t>
  </si>
  <si>
    <t>Minutos totales</t>
  </si>
  <si>
    <t>Tiempo total (horas)</t>
  </si>
  <si>
    <t>Eficiencia promedio</t>
  </si>
  <si>
    <t>Lectura eficiencia</t>
  </si>
  <si>
    <t>Avance</t>
  </si>
  <si>
    <t>Tiempo (duración)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</si>
</sst>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yyyy-mm-dd h:mm:ss"/>
    <numFmt numFmtId="165" formatCode="yyyy-mm-dd"/>
    <numFmt numFmtId="166" formatCode="0.0%"/>
    <numFmt numFmtId="167" formatCode="[h]:mm"/>
  </numFmts>
  <fonts count="8">
    <font>
      <sz val="11.0"/>
      <color theme="1"/>
      <name val="Calibri"/>
      <scheme val="minor"/>
    </font>
    <font>
      <color rgb="FFE7EDF6"/>
      <name val="Calibri"/>
      <scheme val="minor"/>
    </font>
    <font/>
    <font>
      <sz val="11.0"/>
      <color theme="1"/>
      <name val="Calibri"/>
    </font>
    <font>
      <b/>
      <color rgb="FFE7EDF6"/>
      <name val="Calibri"/>
      <scheme val="minor"/>
    </font>
    <font>
      <b/>
      <color theme="1"/>
      <name val="Calibri"/>
    </font>
    <font>
      <color rgb="FF444444"/>
      <name val="Calibri"/>
    </font>
    <font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8F00FF"/>
        <bgColor rgb="FF8F00FF"/>
      </patternFill>
    </fill>
    <fill>
      <patternFill patternType="solid">
        <fgColor rgb="FFF2F2F2"/>
        <bgColor rgb="FFF2F2F2"/>
      </patternFill>
    </fill>
    <fill>
      <patternFill patternType="solid">
        <fgColor rgb="FF4169E1"/>
        <bgColor rgb="FF4169E1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</border>
    <border>
      <left style="thin">
        <color rgb="FF9E9E9E"/>
      </left>
      <top style="thin">
        <color rgb="FF9E9E9E"/>
      </top>
      <bottom style="thin">
        <color rgb="FF9E9E9E"/>
      </bottom>
    </border>
    <border>
      <top style="thin">
        <color rgb="FF9E9E9E"/>
      </top>
      <bottom style="thin">
        <color rgb="FF9E9E9E"/>
      </bottom>
    </border>
    <border>
      <right style="thin">
        <color rgb="FF9E9E9E"/>
      </right>
      <top style="thin">
        <color rgb="FF9E9E9E"/>
      </top>
      <bottom style="thin">
        <color rgb="FF9E9E9E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0" fillId="2" fontId="1" numFmtId="0" xfId="0" applyFont="1"/>
    <xf borderId="4" fillId="3" fontId="4" numFmtId="0" xfId="0" applyAlignment="1" applyBorder="1" applyFill="1" applyFont="1">
      <alignment horizontal="left" vertical="center"/>
    </xf>
    <xf borderId="4" fillId="2" fontId="1" numFmtId="164" xfId="0" applyAlignment="1" applyBorder="1" applyFont="1" applyNumberFormat="1">
      <alignment horizontal="left" shrinkToFit="0" vertical="center" wrapText="1"/>
    </xf>
    <xf borderId="0" fillId="0" fontId="5" numFmtId="0" xfId="0" applyAlignment="1" applyFont="1">
      <alignment horizontal="left"/>
    </xf>
    <xf borderId="4" fillId="4" fontId="6" numFmtId="0" xfId="0" applyAlignment="1" applyBorder="1" applyFill="1" applyFont="1">
      <alignment shrinkToFit="0" vertical="top" wrapText="1"/>
    </xf>
    <xf borderId="4" fillId="2" fontId="1" numFmtId="165" xfId="0" applyAlignment="1" applyBorder="1" applyFont="1" applyNumberFormat="1">
      <alignment horizontal="left" shrinkToFit="0" vertical="center" wrapText="1"/>
    </xf>
    <xf borderId="4" fillId="2" fontId="1" numFmtId="1" xfId="0" applyAlignment="1" applyBorder="1" applyFont="1" applyNumberFormat="1">
      <alignment horizontal="left" shrinkToFit="0" vertical="center" wrapText="1"/>
    </xf>
    <xf borderId="4" fillId="2" fontId="1" numFmtId="0" xfId="0" applyAlignment="1" applyBorder="1" applyFont="1">
      <alignment horizontal="left" vertical="center"/>
    </xf>
    <xf borderId="4" fillId="2" fontId="1" numFmtId="0" xfId="0" applyAlignment="1" applyBorder="1" applyFont="1">
      <alignment horizontal="left" shrinkToFit="0" vertical="center" wrapText="1"/>
    </xf>
    <xf borderId="4" fillId="3" fontId="4" numFmtId="0" xfId="0" applyAlignment="1" applyBorder="1" applyFont="1">
      <alignment horizontal="center" vertical="center"/>
    </xf>
    <xf borderId="4" fillId="3" fontId="4" numFmtId="164" xfId="0" applyAlignment="1" applyBorder="1" applyFont="1" applyNumberFormat="1">
      <alignment horizontal="center" vertical="center"/>
    </xf>
    <xf borderId="0" fillId="5" fontId="4" numFmtId="0" xfId="0" applyFill="1" applyFont="1"/>
    <xf borderId="0" fillId="0" fontId="7" numFmtId="0" xfId="0" applyFont="1"/>
    <xf borderId="4" fillId="2" fontId="1" numFmtId="0" xfId="0" applyAlignment="1" applyBorder="1" applyFont="1">
      <alignment horizontal="center" vertical="center"/>
    </xf>
    <xf borderId="4" fillId="2" fontId="1" numFmtId="165" xfId="0" applyAlignment="1" applyBorder="1" applyFont="1" applyNumberFormat="1">
      <alignment horizontal="center" vertical="center"/>
    </xf>
    <xf borderId="0" fillId="2" fontId="1" numFmtId="1" xfId="0" applyFont="1" applyNumberFormat="1"/>
    <xf borderId="4" fillId="2" fontId="1" numFmtId="166" xfId="0" applyAlignment="1" applyBorder="1" applyFont="1" applyNumberFormat="1">
      <alignment horizontal="center" vertical="center"/>
    </xf>
    <xf borderId="0" fillId="0" fontId="3" numFmtId="1" xfId="0" applyFont="1" applyNumberFormat="1"/>
    <xf borderId="4" fillId="2" fontId="1" numFmtId="9" xfId="0" applyAlignment="1" applyBorder="1" applyFont="1" applyNumberFormat="1">
      <alignment horizontal="center" vertical="center"/>
    </xf>
    <xf borderId="0" fillId="2" fontId="1" numFmtId="165" xfId="0" applyFont="1" applyNumberFormat="1"/>
    <xf borderId="0" fillId="2" fontId="1" numFmtId="9" xfId="0" applyFont="1" applyNumberFormat="1"/>
    <xf borderId="0" fillId="3" fontId="4" numFmtId="0" xfId="0" applyFont="1"/>
    <xf borderId="4" fillId="2" fontId="1" numFmtId="1" xfId="0" applyAlignment="1" applyBorder="1" applyFont="1" applyNumberFormat="1">
      <alignment horizontal="center" vertical="center"/>
    </xf>
    <xf borderId="0" fillId="2" fontId="1" numFmtId="0" xfId="0" applyAlignment="1" applyFont="1">
      <alignment horizontal="left"/>
    </xf>
    <xf borderId="5" fillId="2" fontId="1" numFmtId="166" xfId="0" applyAlignment="1" applyBorder="1" applyFont="1" applyNumberFormat="1">
      <alignment horizontal="center" vertical="center"/>
    </xf>
    <xf borderId="6" fillId="0" fontId="2" numFmtId="0" xfId="0" applyBorder="1" applyFont="1"/>
    <xf borderId="7" fillId="0" fontId="2" numFmtId="0" xfId="0" applyBorder="1" applyFont="1"/>
    <xf borderId="4" fillId="2" fontId="1" numFmtId="0" xfId="0" applyAlignment="1" applyBorder="1" applyFont="1">
      <alignment horizontal="center"/>
    </xf>
    <xf borderId="4" fillId="5" fontId="4" numFmtId="166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horizontal="left"/>
    </xf>
    <xf borderId="0" fillId="3" fontId="4" numFmtId="0" xfId="0" applyAlignment="1" applyFont="1">
      <alignment vertical="bottom"/>
    </xf>
    <xf borderId="0" fillId="2" fontId="1" numFmtId="0" xfId="0" applyAlignment="1" applyFont="1">
      <alignment vertical="bottom"/>
    </xf>
    <xf borderId="4" fillId="5" fontId="4" numFmtId="0" xfId="0" applyAlignment="1" applyBorder="1" applyFont="1">
      <alignment horizontal="center"/>
    </xf>
    <xf borderId="4" fillId="5" fontId="4" numFmtId="166" xfId="0" applyAlignment="1" applyBorder="1" applyFont="1" applyNumberFormat="1">
      <alignment horizontal="center"/>
    </xf>
    <xf borderId="4" fillId="2" fontId="1" numFmtId="166" xfId="0" applyAlignment="1" applyBorder="1" applyFont="1" applyNumberFormat="1">
      <alignment horizontal="center"/>
    </xf>
    <xf borderId="0" fillId="2" fontId="1" numFmtId="166" xfId="0" applyFont="1" applyNumberFormat="1"/>
    <xf borderId="0" fillId="0" fontId="3" numFmtId="167" xfId="0" applyFont="1" applyNumberFormat="1"/>
  </cellXfs>
  <cellStyles count="1">
    <cellStyle xfId="0" name="Normal" builtinId="0"/>
  </cellStyles>
  <dxfs count="3">
    <dxf>
      <font/>
      <fill>
        <patternFill patternType="solid">
          <fgColor rgb="FF5B9BD5"/>
          <bgColor rgb="FF5B9BD5"/>
        </patternFill>
      </fill>
      <border/>
    </dxf>
    <dxf>
      <font/>
      <fill>
        <patternFill patternType="solid">
          <fgColor rgb="FFFFD966"/>
          <bgColor rgb="FFFFD966"/>
        </patternFill>
      </fill>
      <border/>
    </dxf>
    <dxf>
      <font/>
      <fill>
        <patternFill patternType="solid">
          <fgColor rgb="FFA9D18E"/>
          <bgColor rgb="FFA9D18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+mn-lt"/>
              </a:defRPr>
            </a:pPr>
            <a:r>
              <a:rPr b="1" i="0">
                <a:solidFill>
                  <a:srgbClr val="757575"/>
                </a:solidFill>
                <a:latin typeface="+mn-lt"/>
              </a:rPr>
              <a:t>Avance semanal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tx>
            <c:strRef>
              <c:f>Dashboard!$E$16</c:f>
            </c:strRef>
          </c:tx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Dashboard!$D$17:$D$21</c:f>
            </c:strRef>
          </c:cat>
          <c:val>
            <c:numRef>
              <c:f>Dashboard!$E$17:$E$21</c:f>
              <c:numCache/>
            </c:numRef>
          </c:val>
          <c:smooth val="0"/>
        </c:ser>
        <c:axId val="638823657"/>
        <c:axId val="743105913"/>
      </c:lineChart>
      <c:catAx>
        <c:axId val="63882365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Semana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43105913"/>
      </c:catAx>
      <c:valAx>
        <c:axId val="7431059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b="1" i="0">
                    <a:solidFill>
                      <a:srgbClr val="000000"/>
                    </a:solidFill>
                    <a:latin typeface="+mn-lt"/>
                  </a:rPr>
                  <a:t>Avance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3882365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314325</xdr:colOff>
      <xdr:row>23</xdr:row>
      <xdr:rowOff>28575</xdr:rowOff>
    </xdr:from>
    <xdr:ext cx="6477000" cy="3590925"/>
    <xdr:graphicFrame>
      <xdr:nvGraphicFramePr>
        <xdr:cNvPr id="12725180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6.0"/>
    <col customWidth="1" min="2" max="2" width="45.0"/>
    <col customWidth="1" min="3" max="3" width="3.0"/>
    <col customWidth="1" min="4" max="4" width="97.14"/>
    <col customWidth="1" min="5" max="6" width="8.71"/>
  </cols>
  <sheetData>
    <row r="1" ht="31.5" customHeight="1">
      <c r="A1" s="1" t="s">
        <v>0</v>
      </c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/>
      <c r="B2" s="5" t="s">
        <v>1</v>
      </c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/>
      <c r="B3" s="5" t="s">
        <v>2</v>
      </c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6" t="s">
        <v>3</v>
      </c>
      <c r="B4" s="7" t="s">
        <v>4</v>
      </c>
      <c r="C4" s="5"/>
      <c r="D4" s="8" t="s">
        <v>5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60.0" customHeight="1">
      <c r="A5" s="6" t="s">
        <v>6</v>
      </c>
      <c r="B5" s="7" t="s">
        <v>7</v>
      </c>
      <c r="C5" s="5"/>
      <c r="D5" s="9" t="s">
        <v>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6" t="s">
        <v>9</v>
      </c>
      <c r="B6" s="10">
        <v>46113.0</v>
      </c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6" t="s">
        <v>10</v>
      </c>
      <c r="B7" s="11">
        <v>5.0</v>
      </c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6" t="s">
        <v>11</v>
      </c>
      <c r="B8" s="10">
        <f>IF($B$6="","",$B$6 + ($B$7*7) - 1)</f>
        <v>46147</v>
      </c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6" t="s">
        <v>12</v>
      </c>
      <c r="B9" s="11">
        <f>IF(OR($B$6="",$B$8=""),"",$B$8-$B$6+1)</f>
        <v>35</v>
      </c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2" t="s">
        <v>13</v>
      </c>
      <c r="B10" s="13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/>
      <c r="B11" s="5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/>
      <c r="B12" s="5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/>
      <c r="B13" s="5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/>
      <c r="B14" s="5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/>
      <c r="B15" s="5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/>
      <c r="B16" s="5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/>
      <c r="B17" s="5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/>
      <c r="B18" s="5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/>
      <c r="B19" s="5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/>
      <c r="B20" s="5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1:D1"/>
  </mergeCells>
  <dataValidations>
    <dataValidation type="list" allowBlank="1" sqref="B7">
      <formula1>"4,5"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8.0"/>
    <col customWidth="1" min="2" max="2" width="10.0"/>
    <col customWidth="1" min="3" max="3" width="12.0"/>
    <col customWidth="1" min="4" max="4" width="46.0"/>
    <col customWidth="1" min="5" max="5" width="14.0"/>
    <col customWidth="1" min="6" max="6" width="10.0"/>
    <col customWidth="1" min="7" max="7" width="14.0"/>
    <col customWidth="1" hidden="1" min="8" max="8" width="10.0"/>
  </cols>
  <sheetData>
    <row r="1" ht="27.75" customHeight="1">
      <c r="A1" s="1" t="s">
        <v>14</v>
      </c>
      <c r="B1" s="2"/>
      <c r="C1" s="2"/>
      <c r="D1" s="2"/>
      <c r="E1" s="2"/>
      <c r="F1" s="2"/>
      <c r="G1" s="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9.5" customHeight="1">
      <c r="A2" s="14" t="s">
        <v>15</v>
      </c>
      <c r="B2" s="14" t="s">
        <v>16</v>
      </c>
      <c r="C2" s="15" t="s">
        <v>17</v>
      </c>
      <c r="D2" s="14" t="s">
        <v>18</v>
      </c>
      <c r="E2" s="16" t="s">
        <v>19</v>
      </c>
      <c r="F2" s="14" t="s">
        <v>20</v>
      </c>
      <c r="G2" s="14" t="s">
        <v>21</v>
      </c>
      <c r="H2" s="17" t="s">
        <v>22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18">
        <v>1.0</v>
      </c>
      <c r="B3" s="18" t="s">
        <v>23</v>
      </c>
      <c r="C3" s="19">
        <v>46113.0</v>
      </c>
      <c r="D3" s="13" t="s">
        <v>24</v>
      </c>
      <c r="E3" s="20">
        <v>60.0</v>
      </c>
      <c r="F3" s="18" t="s">
        <v>25</v>
      </c>
      <c r="G3" s="21">
        <f t="shared" ref="G3:G33" si="1">IF(F3="Terminado",1,IF(F3="En revisión",0.8,IF(F3="En proceso",0.5,0)))</f>
        <v>1</v>
      </c>
      <c r="H3" s="22">
        <f t="shared" ref="H3:H200" si="2">IF($E3&lt;&gt;"",ROUND($E3*1440,0),"")</f>
        <v>86400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8">
        <v>1.0</v>
      </c>
      <c r="B4" s="18" t="s">
        <v>26</v>
      </c>
      <c r="C4" s="19">
        <v>46114.0</v>
      </c>
      <c r="D4" s="13" t="s">
        <v>27</v>
      </c>
      <c r="E4" s="20">
        <v>90.0</v>
      </c>
      <c r="F4" s="18" t="s">
        <v>25</v>
      </c>
      <c r="G4" s="21">
        <f t="shared" si="1"/>
        <v>1</v>
      </c>
      <c r="H4" s="22">
        <f t="shared" si="2"/>
        <v>129600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8">
        <v>1.0</v>
      </c>
      <c r="B5" s="18" t="s">
        <v>28</v>
      </c>
      <c r="C5" s="19">
        <v>46115.0</v>
      </c>
      <c r="D5" s="13" t="s">
        <v>29</v>
      </c>
      <c r="E5" s="20">
        <v>60.0</v>
      </c>
      <c r="F5" s="18" t="s">
        <v>30</v>
      </c>
      <c r="G5" s="21">
        <f t="shared" si="1"/>
        <v>0.8</v>
      </c>
      <c r="H5" s="22">
        <f t="shared" si="2"/>
        <v>86400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8">
        <v>1.0</v>
      </c>
      <c r="B6" s="18" t="s">
        <v>31</v>
      </c>
      <c r="C6" s="19">
        <v>46116.0</v>
      </c>
      <c r="D6" s="13" t="s">
        <v>32</v>
      </c>
      <c r="E6" s="20">
        <v>30.0</v>
      </c>
      <c r="F6" s="18" t="s">
        <v>33</v>
      </c>
      <c r="G6" s="21">
        <f t="shared" si="1"/>
        <v>0.5</v>
      </c>
      <c r="H6" s="22">
        <f t="shared" si="2"/>
        <v>43200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8">
        <v>1.0</v>
      </c>
      <c r="B7" s="18" t="s">
        <v>34</v>
      </c>
      <c r="C7" s="19">
        <v>46117.0</v>
      </c>
      <c r="D7" s="13" t="s">
        <v>35</v>
      </c>
      <c r="E7" s="20">
        <v>45.0</v>
      </c>
      <c r="F7" s="18" t="s">
        <v>33</v>
      </c>
      <c r="G7" s="21">
        <f t="shared" si="1"/>
        <v>0.5</v>
      </c>
      <c r="H7" s="22">
        <f t="shared" si="2"/>
        <v>64800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18">
        <v>1.0</v>
      </c>
      <c r="B8" s="18" t="s">
        <v>36</v>
      </c>
      <c r="C8" s="19">
        <v>46118.0</v>
      </c>
      <c r="D8" s="13" t="s">
        <v>37</v>
      </c>
      <c r="E8" s="20">
        <v>30.0</v>
      </c>
      <c r="F8" s="18" t="s">
        <v>33</v>
      </c>
      <c r="G8" s="21">
        <f t="shared" si="1"/>
        <v>0.5</v>
      </c>
      <c r="H8" s="22">
        <f t="shared" si="2"/>
        <v>43200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18">
        <v>1.0</v>
      </c>
      <c r="B9" s="18" t="s">
        <v>38</v>
      </c>
      <c r="C9" s="19">
        <v>46119.0</v>
      </c>
      <c r="D9" s="13" t="s">
        <v>39</v>
      </c>
      <c r="E9" s="20">
        <v>45.0</v>
      </c>
      <c r="F9" s="18" t="s">
        <v>30</v>
      </c>
      <c r="G9" s="21">
        <f t="shared" si="1"/>
        <v>0.8</v>
      </c>
      <c r="H9" s="22">
        <f t="shared" si="2"/>
        <v>64800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8">
        <v>2.0</v>
      </c>
      <c r="B10" s="18" t="s">
        <v>23</v>
      </c>
      <c r="C10" s="19">
        <v>46120.0</v>
      </c>
      <c r="D10" s="13" t="s">
        <v>40</v>
      </c>
      <c r="E10" s="20">
        <v>30.0</v>
      </c>
      <c r="F10" s="18" t="s">
        <v>33</v>
      </c>
      <c r="G10" s="21">
        <f t="shared" si="1"/>
        <v>0.5</v>
      </c>
      <c r="H10" s="22">
        <f t="shared" si="2"/>
        <v>43200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18">
        <v>2.0</v>
      </c>
      <c r="B11" s="18" t="s">
        <v>26</v>
      </c>
      <c r="C11" s="19">
        <v>46121.0</v>
      </c>
      <c r="D11" s="13" t="s">
        <v>41</v>
      </c>
      <c r="E11" s="20">
        <v>60.0</v>
      </c>
      <c r="F11" s="18"/>
      <c r="G11" s="21">
        <f t="shared" si="1"/>
        <v>0</v>
      </c>
      <c r="H11" s="22">
        <f t="shared" si="2"/>
        <v>86400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8">
        <v>2.0</v>
      </c>
      <c r="B12" s="18" t="s">
        <v>28</v>
      </c>
      <c r="C12" s="19">
        <v>46122.0</v>
      </c>
      <c r="D12" s="13" t="s">
        <v>42</v>
      </c>
      <c r="E12" s="20">
        <v>15.0</v>
      </c>
      <c r="F12" s="18"/>
      <c r="G12" s="21">
        <f t="shared" si="1"/>
        <v>0</v>
      </c>
      <c r="H12" s="22">
        <f t="shared" si="2"/>
        <v>21600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18">
        <v>2.0</v>
      </c>
      <c r="B13" s="18" t="s">
        <v>31</v>
      </c>
      <c r="C13" s="19">
        <v>46123.0</v>
      </c>
      <c r="D13" s="13"/>
      <c r="E13" s="20">
        <v>0.0</v>
      </c>
      <c r="F13" s="18"/>
      <c r="G13" s="21">
        <f t="shared" si="1"/>
        <v>0</v>
      </c>
      <c r="H13" s="22">
        <f t="shared" si="2"/>
        <v>0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8">
        <v>2.0</v>
      </c>
      <c r="B14" s="18" t="s">
        <v>34</v>
      </c>
      <c r="C14" s="19">
        <v>46124.0</v>
      </c>
      <c r="D14" s="13"/>
      <c r="E14" s="20">
        <v>0.0</v>
      </c>
      <c r="F14" s="18"/>
      <c r="G14" s="21">
        <f t="shared" si="1"/>
        <v>0</v>
      </c>
      <c r="H14" s="22">
        <f t="shared" si="2"/>
        <v>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8">
        <v>2.0</v>
      </c>
      <c r="B15" s="18" t="s">
        <v>36</v>
      </c>
      <c r="C15" s="19">
        <v>46125.0</v>
      </c>
      <c r="D15" s="13"/>
      <c r="E15" s="20">
        <v>0.0</v>
      </c>
      <c r="F15" s="18"/>
      <c r="G15" s="21">
        <f t="shared" si="1"/>
        <v>0</v>
      </c>
      <c r="H15" s="22">
        <f t="shared" si="2"/>
        <v>0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8">
        <v>2.0</v>
      </c>
      <c r="B16" s="18" t="s">
        <v>38</v>
      </c>
      <c r="C16" s="19">
        <v>46126.0</v>
      </c>
      <c r="D16" s="13"/>
      <c r="E16" s="20">
        <v>0.0</v>
      </c>
      <c r="F16" s="18"/>
      <c r="G16" s="21">
        <f t="shared" si="1"/>
        <v>0</v>
      </c>
      <c r="H16" s="22">
        <f t="shared" si="2"/>
        <v>0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8">
        <v>3.0</v>
      </c>
      <c r="B17" s="18" t="s">
        <v>23</v>
      </c>
      <c r="C17" s="19">
        <v>46127.0</v>
      </c>
      <c r="D17" s="13"/>
      <c r="E17" s="20">
        <v>0.0</v>
      </c>
      <c r="F17" s="18"/>
      <c r="G17" s="21">
        <f t="shared" si="1"/>
        <v>0</v>
      </c>
      <c r="H17" s="22">
        <f t="shared" si="2"/>
        <v>0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8">
        <v>3.0</v>
      </c>
      <c r="B18" s="18" t="s">
        <v>26</v>
      </c>
      <c r="C18" s="19">
        <v>46128.0</v>
      </c>
      <c r="D18" s="13"/>
      <c r="E18" s="20">
        <v>0.0</v>
      </c>
      <c r="F18" s="18"/>
      <c r="G18" s="21">
        <f t="shared" si="1"/>
        <v>0</v>
      </c>
      <c r="H18" s="22">
        <f t="shared" si="2"/>
        <v>0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8">
        <v>3.0</v>
      </c>
      <c r="B19" s="18" t="s">
        <v>28</v>
      </c>
      <c r="C19" s="19">
        <v>46129.0</v>
      </c>
      <c r="D19" s="13"/>
      <c r="E19" s="20">
        <v>0.0</v>
      </c>
      <c r="F19" s="18"/>
      <c r="G19" s="21">
        <f t="shared" si="1"/>
        <v>0</v>
      </c>
      <c r="H19" s="22">
        <f t="shared" si="2"/>
        <v>0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8">
        <v>3.0</v>
      </c>
      <c r="B20" s="18" t="s">
        <v>31</v>
      </c>
      <c r="C20" s="19">
        <v>46130.0</v>
      </c>
      <c r="D20" s="13"/>
      <c r="E20" s="20">
        <v>0.0</v>
      </c>
      <c r="F20" s="18"/>
      <c r="G20" s="21">
        <f t="shared" si="1"/>
        <v>0</v>
      </c>
      <c r="H20" s="22">
        <f t="shared" si="2"/>
        <v>0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8">
        <v>3.0</v>
      </c>
      <c r="B21" s="18" t="s">
        <v>34</v>
      </c>
      <c r="C21" s="19">
        <v>46131.0</v>
      </c>
      <c r="D21" s="13"/>
      <c r="E21" s="20">
        <v>0.0</v>
      </c>
      <c r="F21" s="18"/>
      <c r="G21" s="21">
        <f t="shared" si="1"/>
        <v>0</v>
      </c>
      <c r="H21" s="22">
        <f t="shared" si="2"/>
        <v>0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8">
        <v>3.0</v>
      </c>
      <c r="B22" s="18" t="s">
        <v>36</v>
      </c>
      <c r="C22" s="19">
        <v>46132.0</v>
      </c>
      <c r="D22" s="13"/>
      <c r="E22" s="20">
        <v>0.0</v>
      </c>
      <c r="F22" s="18"/>
      <c r="G22" s="21">
        <f t="shared" si="1"/>
        <v>0</v>
      </c>
      <c r="H22" s="22">
        <f t="shared" si="2"/>
        <v>0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8">
        <v>3.0</v>
      </c>
      <c r="B23" s="18" t="s">
        <v>38</v>
      </c>
      <c r="C23" s="19">
        <v>46133.0</v>
      </c>
      <c r="D23" s="13"/>
      <c r="E23" s="20">
        <v>0.0</v>
      </c>
      <c r="F23" s="18"/>
      <c r="G23" s="21">
        <f t="shared" si="1"/>
        <v>0</v>
      </c>
      <c r="H23" s="22">
        <f t="shared" si="2"/>
        <v>0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8">
        <v>4.0</v>
      </c>
      <c r="B24" s="18" t="s">
        <v>23</v>
      </c>
      <c r="C24" s="19">
        <v>46134.0</v>
      </c>
      <c r="D24" s="13"/>
      <c r="E24" s="20">
        <v>0.0</v>
      </c>
      <c r="F24" s="18"/>
      <c r="G24" s="21">
        <f t="shared" si="1"/>
        <v>0</v>
      </c>
      <c r="H24" s="22">
        <f t="shared" si="2"/>
        <v>0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8">
        <v>4.0</v>
      </c>
      <c r="B25" s="18" t="s">
        <v>26</v>
      </c>
      <c r="C25" s="19">
        <v>46135.0</v>
      </c>
      <c r="D25" s="13"/>
      <c r="E25" s="20">
        <v>0.0</v>
      </c>
      <c r="F25" s="18"/>
      <c r="G25" s="21">
        <f t="shared" si="1"/>
        <v>0</v>
      </c>
      <c r="H25" s="22">
        <f t="shared" si="2"/>
        <v>0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8">
        <v>4.0</v>
      </c>
      <c r="B26" s="18" t="s">
        <v>28</v>
      </c>
      <c r="C26" s="19">
        <v>46136.0</v>
      </c>
      <c r="D26" s="13"/>
      <c r="E26" s="20">
        <v>0.0</v>
      </c>
      <c r="F26" s="18"/>
      <c r="G26" s="21">
        <f t="shared" si="1"/>
        <v>0</v>
      </c>
      <c r="H26" s="22">
        <f t="shared" si="2"/>
        <v>0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8">
        <v>4.0</v>
      </c>
      <c r="B27" s="18" t="s">
        <v>31</v>
      </c>
      <c r="C27" s="19">
        <v>46137.0</v>
      </c>
      <c r="D27" s="13"/>
      <c r="E27" s="20">
        <v>0.0</v>
      </c>
      <c r="F27" s="18"/>
      <c r="G27" s="21">
        <f t="shared" si="1"/>
        <v>0</v>
      </c>
      <c r="H27" s="22">
        <f t="shared" si="2"/>
        <v>0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8">
        <v>4.0</v>
      </c>
      <c r="B28" s="18" t="s">
        <v>34</v>
      </c>
      <c r="C28" s="19">
        <v>46138.0</v>
      </c>
      <c r="D28" s="13"/>
      <c r="E28" s="20">
        <v>0.0</v>
      </c>
      <c r="F28" s="18"/>
      <c r="G28" s="21">
        <f t="shared" si="1"/>
        <v>0</v>
      </c>
      <c r="H28" s="22">
        <f t="shared" si="2"/>
        <v>0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8">
        <v>4.0</v>
      </c>
      <c r="B29" s="18" t="s">
        <v>36</v>
      </c>
      <c r="C29" s="19">
        <v>46139.0</v>
      </c>
      <c r="D29" s="13"/>
      <c r="E29" s="20">
        <v>0.0</v>
      </c>
      <c r="F29" s="18"/>
      <c r="G29" s="21">
        <f t="shared" si="1"/>
        <v>0</v>
      </c>
      <c r="H29" s="22">
        <f t="shared" si="2"/>
        <v>0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8">
        <v>4.0</v>
      </c>
      <c r="B30" s="18" t="s">
        <v>38</v>
      </c>
      <c r="C30" s="19">
        <v>46140.0</v>
      </c>
      <c r="D30" s="13"/>
      <c r="E30" s="20">
        <v>0.0</v>
      </c>
      <c r="F30" s="18"/>
      <c r="G30" s="21">
        <f t="shared" si="1"/>
        <v>0</v>
      </c>
      <c r="H30" s="22">
        <f t="shared" si="2"/>
        <v>0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8">
        <v>5.0</v>
      </c>
      <c r="B31" s="18" t="s">
        <v>23</v>
      </c>
      <c r="C31" s="19">
        <v>46141.0</v>
      </c>
      <c r="D31" s="13"/>
      <c r="E31" s="20">
        <v>0.0</v>
      </c>
      <c r="F31" s="18"/>
      <c r="G31" s="21">
        <f t="shared" si="1"/>
        <v>0</v>
      </c>
      <c r="H31" s="22">
        <f t="shared" si="2"/>
        <v>0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8">
        <v>5.0</v>
      </c>
      <c r="B32" s="18" t="s">
        <v>26</v>
      </c>
      <c r="C32" s="19">
        <v>46142.0</v>
      </c>
      <c r="D32" s="13"/>
      <c r="E32" s="20">
        <v>0.0</v>
      </c>
      <c r="F32" s="18"/>
      <c r="G32" s="21">
        <f t="shared" si="1"/>
        <v>0</v>
      </c>
      <c r="H32" s="22">
        <f t="shared" si="2"/>
        <v>0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8">
        <v>5.0</v>
      </c>
      <c r="B33" s="18" t="s">
        <v>28</v>
      </c>
      <c r="C33" s="19">
        <v>46143.0</v>
      </c>
      <c r="D33" s="13"/>
      <c r="E33" s="20">
        <v>0.0</v>
      </c>
      <c r="F33" s="18"/>
      <c r="G33" s="21">
        <f t="shared" si="1"/>
        <v>0</v>
      </c>
      <c r="H33" s="22">
        <f t="shared" si="2"/>
        <v>0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8"/>
      <c r="B34" s="18"/>
      <c r="C34" s="19"/>
      <c r="D34" s="13"/>
      <c r="E34" s="20"/>
      <c r="F34" s="18"/>
      <c r="G34" s="23"/>
      <c r="H34" s="22" t="str">
        <f t="shared" si="2"/>
        <v/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8"/>
      <c r="B35" s="18"/>
      <c r="C35" s="19"/>
      <c r="D35" s="13"/>
      <c r="E35" s="20"/>
      <c r="F35" s="18"/>
      <c r="G35" s="23"/>
      <c r="H35" s="22" t="str">
        <f t="shared" si="2"/>
        <v/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8"/>
      <c r="B36" s="18"/>
      <c r="C36" s="19"/>
      <c r="D36" s="13"/>
      <c r="E36" s="20"/>
      <c r="F36" s="18"/>
      <c r="G36" s="23"/>
      <c r="H36" s="22" t="str">
        <f t="shared" si="2"/>
        <v/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8"/>
      <c r="B37" s="18"/>
      <c r="C37" s="19"/>
      <c r="D37" s="13"/>
      <c r="E37" s="20"/>
      <c r="F37" s="18"/>
      <c r="G37" s="23"/>
      <c r="H37" s="22" t="str">
        <f t="shared" si="2"/>
        <v/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/>
      <c r="B38" s="5"/>
      <c r="C38" s="24"/>
      <c r="D38" s="5"/>
      <c r="E38" s="20"/>
      <c r="F38" s="5"/>
      <c r="G38" s="25"/>
      <c r="H38" s="22" t="str">
        <f t="shared" si="2"/>
        <v/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/>
      <c r="B39" s="5"/>
      <c r="C39" s="24"/>
      <c r="D39" s="5"/>
      <c r="E39" s="20"/>
      <c r="F39" s="5"/>
      <c r="G39" s="25"/>
      <c r="H39" s="22" t="str">
        <f t="shared" si="2"/>
        <v/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/>
      <c r="B40" s="5"/>
      <c r="C40" s="24"/>
      <c r="D40" s="5"/>
      <c r="E40" s="20"/>
      <c r="F40" s="5"/>
      <c r="G40" s="25"/>
      <c r="H40" s="22" t="str">
        <f t="shared" si="2"/>
        <v/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/>
      <c r="B41" s="5"/>
      <c r="C41" s="24"/>
      <c r="D41" s="5"/>
      <c r="E41" s="20"/>
      <c r="F41" s="5"/>
      <c r="G41" s="25"/>
      <c r="H41" s="22" t="str">
        <f t="shared" si="2"/>
        <v/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/>
      <c r="B42" s="5"/>
      <c r="C42" s="24"/>
      <c r="D42" s="5"/>
      <c r="E42" s="20"/>
      <c r="F42" s="5"/>
      <c r="G42" s="25"/>
      <c r="H42" s="22" t="str">
        <f t="shared" si="2"/>
        <v/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/>
      <c r="B43" s="5"/>
      <c r="C43" s="24"/>
      <c r="D43" s="5"/>
      <c r="E43" s="20"/>
      <c r="F43" s="5"/>
      <c r="G43" s="25"/>
      <c r="H43" s="22" t="str">
        <f t="shared" si="2"/>
        <v/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/>
      <c r="B44" s="5"/>
      <c r="C44" s="24"/>
      <c r="D44" s="5"/>
      <c r="E44" s="20"/>
      <c r="F44" s="5"/>
      <c r="G44" s="25"/>
      <c r="H44" s="22" t="str">
        <f t="shared" si="2"/>
        <v/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/>
      <c r="B45" s="5"/>
      <c r="C45" s="24"/>
      <c r="D45" s="5"/>
      <c r="E45" s="20"/>
      <c r="F45" s="5"/>
      <c r="G45" s="25"/>
      <c r="H45" s="22" t="str">
        <f t="shared" si="2"/>
        <v/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/>
      <c r="B46" s="5"/>
      <c r="C46" s="24"/>
      <c r="D46" s="5"/>
      <c r="E46" s="20"/>
      <c r="F46" s="5"/>
      <c r="G46" s="25"/>
      <c r="H46" s="22" t="str">
        <f t="shared" si="2"/>
        <v/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/>
      <c r="B47" s="5"/>
      <c r="C47" s="24"/>
      <c r="D47" s="5"/>
      <c r="E47" s="20"/>
      <c r="F47" s="5"/>
      <c r="G47" s="25"/>
      <c r="H47" s="22" t="str">
        <f t="shared" si="2"/>
        <v/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/>
      <c r="B48" s="5"/>
      <c r="C48" s="24"/>
      <c r="D48" s="5"/>
      <c r="E48" s="20"/>
      <c r="F48" s="5"/>
      <c r="G48" s="25"/>
      <c r="H48" s="22" t="str">
        <f t="shared" si="2"/>
        <v/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/>
      <c r="B49" s="5"/>
      <c r="C49" s="24"/>
      <c r="D49" s="5"/>
      <c r="E49" s="20"/>
      <c r="F49" s="5"/>
      <c r="G49" s="25"/>
      <c r="H49" s="22" t="str">
        <f t="shared" si="2"/>
        <v/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/>
      <c r="B50" s="5"/>
      <c r="C50" s="24"/>
      <c r="D50" s="5"/>
      <c r="E50" s="20"/>
      <c r="F50" s="5"/>
      <c r="G50" s="25"/>
      <c r="H50" s="22" t="str">
        <f t="shared" si="2"/>
        <v/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5"/>
      <c r="B51" s="5"/>
      <c r="C51" s="24"/>
      <c r="D51" s="5"/>
      <c r="E51" s="20"/>
      <c r="F51" s="5"/>
      <c r="G51" s="25"/>
      <c r="H51" s="22" t="str">
        <f t="shared" si="2"/>
        <v/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5"/>
      <c r="B52" s="5"/>
      <c r="C52" s="24"/>
      <c r="D52" s="5"/>
      <c r="E52" s="20"/>
      <c r="F52" s="5"/>
      <c r="G52" s="25"/>
      <c r="H52" s="22" t="str">
        <f t="shared" si="2"/>
        <v/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5"/>
      <c r="B53" s="5"/>
      <c r="C53" s="24"/>
      <c r="D53" s="5"/>
      <c r="E53" s="20"/>
      <c r="F53" s="5"/>
      <c r="G53" s="25"/>
      <c r="H53" s="22" t="str">
        <f t="shared" si="2"/>
        <v/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5"/>
      <c r="B54" s="5"/>
      <c r="C54" s="24"/>
      <c r="D54" s="5"/>
      <c r="E54" s="20"/>
      <c r="F54" s="5"/>
      <c r="G54" s="25"/>
      <c r="H54" s="22" t="str">
        <f t="shared" si="2"/>
        <v/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5"/>
      <c r="B55" s="5"/>
      <c r="C55" s="24"/>
      <c r="D55" s="5"/>
      <c r="E55" s="20"/>
      <c r="F55" s="5"/>
      <c r="G55" s="25"/>
      <c r="H55" s="22" t="str">
        <f t="shared" si="2"/>
        <v/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5"/>
      <c r="B56" s="5"/>
      <c r="C56" s="24"/>
      <c r="D56" s="5"/>
      <c r="E56" s="20"/>
      <c r="F56" s="5"/>
      <c r="G56" s="25"/>
      <c r="H56" s="22" t="str">
        <f t="shared" si="2"/>
        <v/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5"/>
      <c r="B57" s="5"/>
      <c r="C57" s="24"/>
      <c r="D57" s="5"/>
      <c r="E57" s="20"/>
      <c r="F57" s="5"/>
      <c r="G57" s="25"/>
      <c r="H57" s="22" t="str">
        <f t="shared" si="2"/>
        <v/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5"/>
      <c r="B58" s="5"/>
      <c r="C58" s="24"/>
      <c r="D58" s="5"/>
      <c r="E58" s="20"/>
      <c r="F58" s="5"/>
      <c r="G58" s="25"/>
      <c r="H58" s="22" t="str">
        <f t="shared" si="2"/>
        <v/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5"/>
      <c r="B59" s="5"/>
      <c r="C59" s="24"/>
      <c r="D59" s="5"/>
      <c r="E59" s="20"/>
      <c r="F59" s="5"/>
      <c r="G59" s="25"/>
      <c r="H59" s="22" t="str">
        <f t="shared" si="2"/>
        <v/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5"/>
      <c r="B60" s="5"/>
      <c r="C60" s="24"/>
      <c r="D60" s="5"/>
      <c r="E60" s="20"/>
      <c r="F60" s="5"/>
      <c r="G60" s="25"/>
      <c r="H60" s="22" t="str">
        <f t="shared" si="2"/>
        <v/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5"/>
      <c r="B61" s="5"/>
      <c r="C61" s="24"/>
      <c r="D61" s="5"/>
      <c r="E61" s="20"/>
      <c r="F61" s="5"/>
      <c r="G61" s="25"/>
      <c r="H61" s="22" t="str">
        <f t="shared" si="2"/>
        <v/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5"/>
      <c r="B62" s="5"/>
      <c r="C62" s="24"/>
      <c r="D62" s="5"/>
      <c r="E62" s="20"/>
      <c r="F62" s="5"/>
      <c r="G62" s="25"/>
      <c r="H62" s="22" t="str">
        <f t="shared" si="2"/>
        <v/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5"/>
      <c r="B63" s="5"/>
      <c r="C63" s="24"/>
      <c r="D63" s="5"/>
      <c r="E63" s="20"/>
      <c r="F63" s="5"/>
      <c r="G63" s="25"/>
      <c r="H63" s="22" t="str">
        <f t="shared" si="2"/>
        <v/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5"/>
      <c r="B64" s="5"/>
      <c r="C64" s="24"/>
      <c r="D64" s="5"/>
      <c r="E64" s="20"/>
      <c r="F64" s="5"/>
      <c r="G64" s="25"/>
      <c r="H64" s="22" t="str">
        <f t="shared" si="2"/>
        <v/>
      </c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5"/>
      <c r="B65" s="5"/>
      <c r="C65" s="24"/>
      <c r="D65" s="5"/>
      <c r="E65" s="20"/>
      <c r="F65" s="5"/>
      <c r="G65" s="25"/>
      <c r="H65" s="22" t="str">
        <f t="shared" si="2"/>
        <v/>
      </c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5"/>
      <c r="B66" s="5"/>
      <c r="C66" s="24"/>
      <c r="D66" s="5"/>
      <c r="E66" s="20"/>
      <c r="F66" s="5"/>
      <c r="G66" s="25"/>
      <c r="H66" s="22" t="str">
        <f t="shared" si="2"/>
        <v/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5"/>
      <c r="B67" s="5"/>
      <c r="C67" s="24"/>
      <c r="D67" s="5"/>
      <c r="E67" s="20"/>
      <c r="F67" s="5"/>
      <c r="G67" s="25"/>
      <c r="H67" s="22" t="str">
        <f t="shared" si="2"/>
        <v/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5"/>
      <c r="B68" s="5"/>
      <c r="C68" s="24"/>
      <c r="D68" s="5"/>
      <c r="E68" s="20"/>
      <c r="F68" s="5"/>
      <c r="G68" s="25"/>
      <c r="H68" s="22" t="str">
        <f t="shared" si="2"/>
        <v/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5"/>
      <c r="B69" s="5"/>
      <c r="C69" s="24"/>
      <c r="D69" s="5"/>
      <c r="E69" s="20"/>
      <c r="F69" s="5"/>
      <c r="G69" s="25"/>
      <c r="H69" s="22" t="str">
        <f t="shared" si="2"/>
        <v/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5"/>
      <c r="B70" s="5"/>
      <c r="C70" s="24"/>
      <c r="D70" s="5"/>
      <c r="E70" s="20"/>
      <c r="F70" s="5"/>
      <c r="G70" s="25"/>
      <c r="H70" s="22" t="str">
        <f t="shared" si="2"/>
        <v/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5"/>
      <c r="B71" s="5"/>
      <c r="C71" s="24"/>
      <c r="D71" s="5"/>
      <c r="E71" s="20"/>
      <c r="F71" s="5"/>
      <c r="G71" s="25"/>
      <c r="H71" s="22" t="str">
        <f t="shared" si="2"/>
        <v/>
      </c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5"/>
      <c r="B72" s="5"/>
      <c r="C72" s="24"/>
      <c r="D72" s="5"/>
      <c r="E72" s="20"/>
      <c r="F72" s="5"/>
      <c r="G72" s="25"/>
      <c r="H72" s="22" t="str">
        <f t="shared" si="2"/>
        <v/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5"/>
      <c r="B73" s="5"/>
      <c r="C73" s="24"/>
      <c r="D73" s="5"/>
      <c r="E73" s="20"/>
      <c r="F73" s="5"/>
      <c r="G73" s="25"/>
      <c r="H73" s="22" t="str">
        <f t="shared" si="2"/>
        <v/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5"/>
      <c r="B74" s="5"/>
      <c r="C74" s="24"/>
      <c r="D74" s="5"/>
      <c r="E74" s="20"/>
      <c r="F74" s="5"/>
      <c r="G74" s="25"/>
      <c r="H74" s="22" t="str">
        <f t="shared" si="2"/>
        <v/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5"/>
      <c r="B75" s="5"/>
      <c r="C75" s="24"/>
      <c r="D75" s="5"/>
      <c r="E75" s="20"/>
      <c r="F75" s="5"/>
      <c r="G75" s="25"/>
      <c r="H75" s="22" t="str">
        <f t="shared" si="2"/>
        <v/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5"/>
      <c r="B76" s="5"/>
      <c r="C76" s="24"/>
      <c r="D76" s="5"/>
      <c r="E76" s="20"/>
      <c r="F76" s="5"/>
      <c r="G76" s="25"/>
      <c r="H76" s="22" t="str">
        <f t="shared" si="2"/>
        <v/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5"/>
      <c r="B77" s="5"/>
      <c r="C77" s="24"/>
      <c r="D77" s="5"/>
      <c r="E77" s="20"/>
      <c r="F77" s="5"/>
      <c r="G77" s="25"/>
      <c r="H77" s="22" t="str">
        <f t="shared" si="2"/>
        <v/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5"/>
      <c r="B78" s="5"/>
      <c r="C78" s="24"/>
      <c r="D78" s="5"/>
      <c r="E78" s="20"/>
      <c r="F78" s="5"/>
      <c r="G78" s="25"/>
      <c r="H78" s="22" t="str">
        <f t="shared" si="2"/>
        <v/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5"/>
      <c r="B79" s="5"/>
      <c r="C79" s="24"/>
      <c r="D79" s="5"/>
      <c r="E79" s="20"/>
      <c r="F79" s="5"/>
      <c r="G79" s="25"/>
      <c r="H79" s="22" t="str">
        <f t="shared" si="2"/>
        <v/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5"/>
      <c r="B80" s="5"/>
      <c r="C80" s="24" t="str">
        <f>IF(OR(Meta!$B$6="",77+1&gt;Meta!$B$7*7),"",Meta!$B$6+77)</f>
        <v/>
      </c>
      <c r="D80" s="5"/>
      <c r="E80" s="20"/>
      <c r="F80" s="5"/>
      <c r="G80" s="25" t="str">
        <f t="shared" ref="G80:G200" si="3">IF(F80="Terminado",1,IF(F80="En revisión",0.8,IF(F80="En proceso",0.5,"")))</f>
        <v/>
      </c>
      <c r="H80" s="22" t="str">
        <f t="shared" si="2"/>
        <v/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5"/>
      <c r="B81" s="5"/>
      <c r="C81" s="24" t="str">
        <f>IF(OR(Meta!$B$6="",78+1&gt;Meta!$B$7*7),"",Meta!$B$6+78)</f>
        <v/>
      </c>
      <c r="D81" s="5"/>
      <c r="E81" s="20"/>
      <c r="F81" s="5"/>
      <c r="G81" s="25" t="str">
        <f t="shared" si="3"/>
        <v/>
      </c>
      <c r="H81" s="22" t="str">
        <f t="shared" si="2"/>
        <v/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5"/>
      <c r="B82" s="5"/>
      <c r="C82" s="24" t="str">
        <f>IF(OR(Meta!$B$6="",79+1&gt;Meta!$B$7*7),"",Meta!$B$6+79)</f>
        <v/>
      </c>
      <c r="D82" s="5"/>
      <c r="E82" s="20"/>
      <c r="F82" s="5"/>
      <c r="G82" s="25" t="str">
        <f t="shared" si="3"/>
        <v/>
      </c>
      <c r="H82" s="22" t="str">
        <f t="shared" si="2"/>
        <v/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5"/>
      <c r="B83" s="5"/>
      <c r="C83" s="24" t="str">
        <f>IF(OR(Meta!$B$6="",80+1&gt;Meta!$B$7*7),"",Meta!$B$6+80)</f>
        <v/>
      </c>
      <c r="D83" s="5"/>
      <c r="E83" s="20"/>
      <c r="F83" s="5"/>
      <c r="G83" s="25" t="str">
        <f t="shared" si="3"/>
        <v/>
      </c>
      <c r="H83" s="22" t="str">
        <f t="shared" si="2"/>
        <v/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5"/>
      <c r="B84" s="5"/>
      <c r="C84" s="24" t="str">
        <f>IF(OR(Meta!$B$6="",81+1&gt;Meta!$B$7*7),"",Meta!$B$6+81)</f>
        <v/>
      </c>
      <c r="D84" s="5"/>
      <c r="E84" s="20"/>
      <c r="F84" s="5"/>
      <c r="G84" s="25" t="str">
        <f t="shared" si="3"/>
        <v/>
      </c>
      <c r="H84" s="22" t="str">
        <f t="shared" si="2"/>
        <v/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5"/>
      <c r="B85" s="5"/>
      <c r="C85" s="24" t="str">
        <f>IF(OR(Meta!$B$6="",82+1&gt;Meta!$B$7*7),"",Meta!$B$6+82)</f>
        <v/>
      </c>
      <c r="D85" s="5"/>
      <c r="E85" s="20"/>
      <c r="F85" s="5"/>
      <c r="G85" s="25" t="str">
        <f t="shared" si="3"/>
        <v/>
      </c>
      <c r="H85" s="22" t="str">
        <f t="shared" si="2"/>
        <v/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5"/>
      <c r="B86" s="5"/>
      <c r="C86" s="24" t="str">
        <f>IF(OR(Meta!$B$6="",83+1&gt;Meta!$B$7*7),"",Meta!$B$6+83)</f>
        <v/>
      </c>
      <c r="D86" s="5"/>
      <c r="E86" s="20"/>
      <c r="F86" s="5"/>
      <c r="G86" s="25" t="str">
        <f t="shared" si="3"/>
        <v/>
      </c>
      <c r="H86" s="22" t="str">
        <f t="shared" si="2"/>
        <v/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5"/>
      <c r="B87" s="5"/>
      <c r="C87" s="24" t="str">
        <f>IF(OR(Meta!$B$6="",84+1&gt;Meta!$B$7*7),"",Meta!$B$6+84)</f>
        <v/>
      </c>
      <c r="D87" s="5"/>
      <c r="E87" s="20"/>
      <c r="F87" s="5"/>
      <c r="G87" s="25" t="str">
        <f t="shared" si="3"/>
        <v/>
      </c>
      <c r="H87" s="22" t="str">
        <f t="shared" si="2"/>
        <v/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5"/>
      <c r="B88" s="5"/>
      <c r="C88" s="24" t="str">
        <f>IF(OR(Meta!$B$6="",85+1&gt;Meta!$B$7*7),"",Meta!$B$6+85)</f>
        <v/>
      </c>
      <c r="D88" s="5"/>
      <c r="E88" s="20"/>
      <c r="F88" s="5"/>
      <c r="G88" s="25" t="str">
        <f t="shared" si="3"/>
        <v/>
      </c>
      <c r="H88" s="22" t="str">
        <f t="shared" si="2"/>
        <v/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5"/>
      <c r="B89" s="5"/>
      <c r="C89" s="24" t="str">
        <f>IF(OR(Meta!$B$6="",86+1&gt;Meta!$B$7*7),"",Meta!$B$6+86)</f>
        <v/>
      </c>
      <c r="D89" s="5"/>
      <c r="E89" s="20"/>
      <c r="F89" s="5"/>
      <c r="G89" s="25" t="str">
        <f t="shared" si="3"/>
        <v/>
      </c>
      <c r="H89" s="22" t="str">
        <f t="shared" si="2"/>
        <v/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5"/>
      <c r="B90" s="5"/>
      <c r="C90" s="24" t="str">
        <f>IF(OR(Meta!$B$6="",87+1&gt;Meta!$B$7*7),"",Meta!$B$6+87)</f>
        <v/>
      </c>
      <c r="D90" s="5"/>
      <c r="E90" s="20"/>
      <c r="F90" s="5"/>
      <c r="G90" s="25" t="str">
        <f t="shared" si="3"/>
        <v/>
      </c>
      <c r="H90" s="22" t="str">
        <f t="shared" si="2"/>
        <v/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5"/>
      <c r="B91" s="5"/>
      <c r="C91" s="24" t="str">
        <f>IF(OR(Meta!$B$6="",88+1&gt;Meta!$B$7*7),"",Meta!$B$6+88)</f>
        <v/>
      </c>
      <c r="D91" s="5"/>
      <c r="E91" s="20"/>
      <c r="F91" s="5"/>
      <c r="G91" s="25" t="str">
        <f t="shared" si="3"/>
        <v/>
      </c>
      <c r="H91" s="22" t="str">
        <f t="shared" si="2"/>
        <v/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5"/>
      <c r="B92" s="5"/>
      <c r="C92" s="24" t="str">
        <f>IF(OR(Meta!$B$6="",89+1&gt;Meta!$B$7*7),"",Meta!$B$6+89)</f>
        <v/>
      </c>
      <c r="D92" s="5"/>
      <c r="E92" s="20"/>
      <c r="F92" s="5"/>
      <c r="G92" s="25" t="str">
        <f t="shared" si="3"/>
        <v/>
      </c>
      <c r="H92" s="22" t="str">
        <f t="shared" si="2"/>
        <v/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5"/>
      <c r="B93" s="5"/>
      <c r="C93" s="24" t="str">
        <f>IF(OR(Meta!$B$6="",90+1&gt;Meta!$B$7*7),"",Meta!$B$6+90)</f>
        <v/>
      </c>
      <c r="D93" s="5"/>
      <c r="E93" s="20"/>
      <c r="F93" s="5"/>
      <c r="G93" s="25" t="str">
        <f t="shared" si="3"/>
        <v/>
      </c>
      <c r="H93" s="22" t="str">
        <f t="shared" si="2"/>
        <v/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5"/>
      <c r="B94" s="5"/>
      <c r="C94" s="24" t="str">
        <f>IF(OR(Meta!$B$6="",91+1&gt;Meta!$B$7*7),"",Meta!$B$6+91)</f>
        <v/>
      </c>
      <c r="D94" s="5"/>
      <c r="E94" s="20"/>
      <c r="F94" s="5"/>
      <c r="G94" s="25" t="str">
        <f t="shared" si="3"/>
        <v/>
      </c>
      <c r="H94" s="22" t="str">
        <f t="shared" si="2"/>
        <v/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5"/>
      <c r="B95" s="5"/>
      <c r="C95" s="24" t="str">
        <f>IF(OR(Meta!$B$6="",92+1&gt;Meta!$B$7*7),"",Meta!$B$6+92)</f>
        <v/>
      </c>
      <c r="D95" s="5"/>
      <c r="E95" s="20"/>
      <c r="F95" s="5"/>
      <c r="G95" s="25" t="str">
        <f t="shared" si="3"/>
        <v/>
      </c>
      <c r="H95" s="22" t="str">
        <f t="shared" si="2"/>
        <v/>
      </c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5"/>
      <c r="B96" s="5"/>
      <c r="C96" s="24" t="str">
        <f>IF(OR(Meta!$B$6="",93+1&gt;Meta!$B$7*7),"",Meta!$B$6+93)</f>
        <v/>
      </c>
      <c r="D96" s="5"/>
      <c r="E96" s="20"/>
      <c r="F96" s="5"/>
      <c r="G96" s="25" t="str">
        <f t="shared" si="3"/>
        <v/>
      </c>
      <c r="H96" s="22" t="str">
        <f t="shared" si="2"/>
        <v/>
      </c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5"/>
      <c r="B97" s="5"/>
      <c r="C97" s="24" t="str">
        <f>IF(OR(Meta!$B$6="",94+1&gt;Meta!$B$7*7),"",Meta!$B$6+94)</f>
        <v/>
      </c>
      <c r="D97" s="5"/>
      <c r="E97" s="20"/>
      <c r="F97" s="5"/>
      <c r="G97" s="25" t="str">
        <f t="shared" si="3"/>
        <v/>
      </c>
      <c r="H97" s="22" t="str">
        <f t="shared" si="2"/>
        <v/>
      </c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5"/>
      <c r="B98" s="5"/>
      <c r="C98" s="24" t="str">
        <f>IF(OR(Meta!$B$6="",95+1&gt;Meta!$B$7*7),"",Meta!$B$6+95)</f>
        <v/>
      </c>
      <c r="D98" s="5"/>
      <c r="E98" s="20"/>
      <c r="F98" s="5"/>
      <c r="G98" s="25" t="str">
        <f t="shared" si="3"/>
        <v/>
      </c>
      <c r="H98" s="22" t="str">
        <f t="shared" si="2"/>
        <v/>
      </c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5"/>
      <c r="B99" s="5"/>
      <c r="C99" s="24" t="str">
        <f>IF(OR(Meta!$B$6="",96+1&gt;Meta!$B$7*7),"",Meta!$B$6+96)</f>
        <v/>
      </c>
      <c r="D99" s="5"/>
      <c r="E99" s="20"/>
      <c r="F99" s="5"/>
      <c r="G99" s="25" t="str">
        <f t="shared" si="3"/>
        <v/>
      </c>
      <c r="H99" s="22" t="str">
        <f t="shared" si="2"/>
        <v/>
      </c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5"/>
      <c r="B100" s="5"/>
      <c r="C100" s="24" t="str">
        <f>IF(OR(Meta!$B$6="",97+1&gt;Meta!$B$7*7),"",Meta!$B$6+97)</f>
        <v/>
      </c>
      <c r="D100" s="5"/>
      <c r="E100" s="20"/>
      <c r="F100" s="5"/>
      <c r="G100" s="25" t="str">
        <f t="shared" si="3"/>
        <v/>
      </c>
      <c r="H100" s="22" t="str">
        <f t="shared" si="2"/>
        <v/>
      </c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5"/>
      <c r="B101" s="5"/>
      <c r="C101" s="24" t="str">
        <f>IF(OR(Meta!$B$6="",98+1&gt;Meta!$B$7*7),"",Meta!$B$6+98)</f>
        <v/>
      </c>
      <c r="D101" s="5"/>
      <c r="E101" s="20"/>
      <c r="F101" s="5"/>
      <c r="G101" s="25" t="str">
        <f t="shared" si="3"/>
        <v/>
      </c>
      <c r="H101" s="22" t="str">
        <f t="shared" si="2"/>
        <v/>
      </c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5"/>
      <c r="B102" s="5"/>
      <c r="C102" s="24" t="str">
        <f>IF(OR(Meta!$B$6="",99+1&gt;Meta!$B$7*7),"",Meta!$B$6+99)</f>
        <v/>
      </c>
      <c r="D102" s="5"/>
      <c r="E102" s="20"/>
      <c r="F102" s="5"/>
      <c r="G102" s="25" t="str">
        <f t="shared" si="3"/>
        <v/>
      </c>
      <c r="H102" s="22" t="str">
        <f t="shared" si="2"/>
        <v/>
      </c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5"/>
      <c r="B103" s="5"/>
      <c r="C103" s="24" t="str">
        <f>IF(OR(Meta!$B$6="",100+1&gt;Meta!$B$7*7),"",Meta!$B$6+100)</f>
        <v/>
      </c>
      <c r="D103" s="5"/>
      <c r="E103" s="20"/>
      <c r="F103" s="5"/>
      <c r="G103" s="25" t="str">
        <f t="shared" si="3"/>
        <v/>
      </c>
      <c r="H103" s="22" t="str">
        <f t="shared" si="2"/>
        <v/>
      </c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5"/>
      <c r="B104" s="5"/>
      <c r="C104" s="24" t="str">
        <f>IF(OR(Meta!$B$6="",101+1&gt;Meta!$B$7*7),"",Meta!$B$6+101)</f>
        <v/>
      </c>
      <c r="D104" s="5"/>
      <c r="E104" s="20"/>
      <c r="F104" s="5"/>
      <c r="G104" s="25" t="str">
        <f t="shared" si="3"/>
        <v/>
      </c>
      <c r="H104" s="22" t="str">
        <f t="shared" si="2"/>
        <v/>
      </c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5"/>
      <c r="B105" s="5"/>
      <c r="C105" s="24" t="str">
        <f>IF(OR(Meta!$B$6="",102+1&gt;Meta!$B$7*7),"",Meta!$B$6+102)</f>
        <v/>
      </c>
      <c r="D105" s="5"/>
      <c r="E105" s="20"/>
      <c r="F105" s="5"/>
      <c r="G105" s="25" t="str">
        <f t="shared" si="3"/>
        <v/>
      </c>
      <c r="H105" s="22" t="str">
        <f t="shared" si="2"/>
        <v/>
      </c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5"/>
      <c r="B106" s="5"/>
      <c r="C106" s="24" t="str">
        <f>IF(OR(Meta!$B$6="",103+1&gt;Meta!$B$7*7),"",Meta!$B$6+103)</f>
        <v/>
      </c>
      <c r="D106" s="5"/>
      <c r="E106" s="20"/>
      <c r="F106" s="5"/>
      <c r="G106" s="25" t="str">
        <f t="shared" si="3"/>
        <v/>
      </c>
      <c r="H106" s="22" t="str">
        <f t="shared" si="2"/>
        <v/>
      </c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5"/>
      <c r="B107" s="5"/>
      <c r="C107" s="24" t="str">
        <f>IF(OR(Meta!$B$6="",104+1&gt;Meta!$B$7*7),"",Meta!$B$6+104)</f>
        <v/>
      </c>
      <c r="D107" s="5"/>
      <c r="E107" s="20"/>
      <c r="F107" s="5"/>
      <c r="G107" s="25" t="str">
        <f t="shared" si="3"/>
        <v/>
      </c>
      <c r="H107" s="22" t="str">
        <f t="shared" si="2"/>
        <v/>
      </c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5"/>
      <c r="B108" s="5"/>
      <c r="C108" s="24" t="str">
        <f>IF(OR(Meta!$B$6="",105+1&gt;Meta!$B$7*7),"",Meta!$B$6+105)</f>
        <v/>
      </c>
      <c r="D108" s="5"/>
      <c r="E108" s="20"/>
      <c r="F108" s="5"/>
      <c r="G108" s="25" t="str">
        <f t="shared" si="3"/>
        <v/>
      </c>
      <c r="H108" s="22" t="str">
        <f t="shared" si="2"/>
        <v/>
      </c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5"/>
      <c r="B109" s="5"/>
      <c r="C109" s="24" t="str">
        <f>IF(OR(Meta!$B$6="",106+1&gt;Meta!$B$7*7),"",Meta!$B$6+106)</f>
        <v/>
      </c>
      <c r="D109" s="5"/>
      <c r="E109" s="20"/>
      <c r="F109" s="5"/>
      <c r="G109" s="25" t="str">
        <f t="shared" si="3"/>
        <v/>
      </c>
      <c r="H109" s="22" t="str">
        <f t="shared" si="2"/>
        <v/>
      </c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5"/>
      <c r="B110" s="5"/>
      <c r="C110" s="24" t="str">
        <f>IF(OR(Meta!$B$6="",107+1&gt;Meta!$B$7*7),"",Meta!$B$6+107)</f>
        <v/>
      </c>
      <c r="D110" s="5"/>
      <c r="E110" s="20"/>
      <c r="F110" s="5"/>
      <c r="G110" s="25" t="str">
        <f t="shared" si="3"/>
        <v/>
      </c>
      <c r="H110" s="22" t="str">
        <f t="shared" si="2"/>
        <v/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5"/>
      <c r="B111" s="5"/>
      <c r="C111" s="24" t="str">
        <f>IF(OR(Meta!$B$6="",108+1&gt;Meta!$B$7*7),"",Meta!$B$6+108)</f>
        <v/>
      </c>
      <c r="D111" s="5"/>
      <c r="E111" s="20"/>
      <c r="F111" s="5"/>
      <c r="G111" s="25" t="str">
        <f t="shared" si="3"/>
        <v/>
      </c>
      <c r="H111" s="22" t="str">
        <f t="shared" si="2"/>
        <v/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5"/>
      <c r="B112" s="5"/>
      <c r="C112" s="24" t="str">
        <f>IF(OR(Meta!$B$6="",109+1&gt;Meta!$B$7*7),"",Meta!$B$6+109)</f>
        <v/>
      </c>
      <c r="D112" s="5"/>
      <c r="E112" s="20"/>
      <c r="F112" s="5"/>
      <c r="G112" s="25" t="str">
        <f t="shared" si="3"/>
        <v/>
      </c>
      <c r="H112" s="22" t="str">
        <f t="shared" si="2"/>
        <v/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5"/>
      <c r="B113" s="5"/>
      <c r="C113" s="24" t="str">
        <f>IF(OR(Meta!$B$6="",110+1&gt;Meta!$B$7*7),"",Meta!$B$6+110)</f>
        <v/>
      </c>
      <c r="D113" s="5"/>
      <c r="E113" s="20"/>
      <c r="F113" s="5"/>
      <c r="G113" s="25" t="str">
        <f t="shared" si="3"/>
        <v/>
      </c>
      <c r="H113" s="22" t="str">
        <f t="shared" si="2"/>
        <v/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5"/>
      <c r="B114" s="5"/>
      <c r="C114" s="24" t="str">
        <f>IF(OR(Meta!$B$6="",111+1&gt;Meta!$B$7*7),"",Meta!$B$6+111)</f>
        <v/>
      </c>
      <c r="D114" s="5"/>
      <c r="E114" s="20"/>
      <c r="F114" s="5"/>
      <c r="G114" s="25" t="str">
        <f t="shared" si="3"/>
        <v/>
      </c>
      <c r="H114" s="22" t="str">
        <f t="shared" si="2"/>
        <v/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5"/>
      <c r="B115" s="5"/>
      <c r="C115" s="24" t="str">
        <f>IF(OR(Meta!$B$6="",112+1&gt;Meta!$B$7*7),"",Meta!$B$6+112)</f>
        <v/>
      </c>
      <c r="D115" s="5"/>
      <c r="E115" s="20"/>
      <c r="F115" s="5"/>
      <c r="G115" s="25" t="str">
        <f t="shared" si="3"/>
        <v/>
      </c>
      <c r="H115" s="22" t="str">
        <f t="shared" si="2"/>
        <v/>
      </c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5"/>
      <c r="B116" s="5"/>
      <c r="C116" s="24" t="str">
        <f>IF(OR(Meta!$B$6="",113+1&gt;Meta!$B$7*7),"",Meta!$B$6+113)</f>
        <v/>
      </c>
      <c r="D116" s="5"/>
      <c r="E116" s="20"/>
      <c r="F116" s="5"/>
      <c r="G116" s="25" t="str">
        <f t="shared" si="3"/>
        <v/>
      </c>
      <c r="H116" s="22" t="str">
        <f t="shared" si="2"/>
        <v/>
      </c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5"/>
      <c r="B117" s="5"/>
      <c r="C117" s="24" t="str">
        <f>IF(OR(Meta!$B$6="",114+1&gt;Meta!$B$7*7),"",Meta!$B$6+114)</f>
        <v/>
      </c>
      <c r="D117" s="5"/>
      <c r="E117" s="20"/>
      <c r="F117" s="5"/>
      <c r="G117" s="25" t="str">
        <f t="shared" si="3"/>
        <v/>
      </c>
      <c r="H117" s="22" t="str">
        <f t="shared" si="2"/>
        <v/>
      </c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5"/>
      <c r="B118" s="5"/>
      <c r="C118" s="24" t="str">
        <f>IF(OR(Meta!$B$6="",115+1&gt;Meta!$B$7*7),"",Meta!$B$6+115)</f>
        <v/>
      </c>
      <c r="D118" s="5"/>
      <c r="E118" s="20"/>
      <c r="F118" s="5"/>
      <c r="G118" s="25" t="str">
        <f t="shared" si="3"/>
        <v/>
      </c>
      <c r="H118" s="22" t="str">
        <f t="shared" si="2"/>
        <v/>
      </c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5"/>
      <c r="B119" s="5"/>
      <c r="C119" s="24" t="str">
        <f>IF(OR(Meta!$B$6="",116+1&gt;Meta!$B$7*7),"",Meta!$B$6+116)</f>
        <v/>
      </c>
      <c r="D119" s="5"/>
      <c r="E119" s="20"/>
      <c r="F119" s="5"/>
      <c r="G119" s="25" t="str">
        <f t="shared" si="3"/>
        <v/>
      </c>
      <c r="H119" s="22" t="str">
        <f t="shared" si="2"/>
        <v/>
      </c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5"/>
      <c r="B120" s="5"/>
      <c r="C120" s="24" t="str">
        <f>IF(OR(Meta!$B$6="",117+1&gt;Meta!$B$7*7),"",Meta!$B$6+117)</f>
        <v/>
      </c>
      <c r="D120" s="5"/>
      <c r="E120" s="20"/>
      <c r="F120" s="5"/>
      <c r="G120" s="25" t="str">
        <f t="shared" si="3"/>
        <v/>
      </c>
      <c r="H120" s="22" t="str">
        <f t="shared" si="2"/>
        <v/>
      </c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5"/>
      <c r="B121" s="5"/>
      <c r="C121" s="24" t="str">
        <f>IF(OR(Meta!$B$6="",118+1&gt;Meta!$B$7*7),"",Meta!$B$6+118)</f>
        <v/>
      </c>
      <c r="D121" s="5"/>
      <c r="E121" s="20"/>
      <c r="F121" s="5"/>
      <c r="G121" s="25" t="str">
        <f t="shared" si="3"/>
        <v/>
      </c>
      <c r="H121" s="22" t="str">
        <f t="shared" si="2"/>
        <v/>
      </c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5"/>
      <c r="B122" s="5"/>
      <c r="C122" s="24" t="str">
        <f>IF(OR(Meta!$B$6="",119+1&gt;Meta!$B$7*7),"",Meta!$B$6+119)</f>
        <v/>
      </c>
      <c r="D122" s="5"/>
      <c r="E122" s="20"/>
      <c r="F122" s="5"/>
      <c r="G122" s="25" t="str">
        <f t="shared" si="3"/>
        <v/>
      </c>
      <c r="H122" s="22" t="str">
        <f t="shared" si="2"/>
        <v/>
      </c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5"/>
      <c r="B123" s="5"/>
      <c r="C123" s="24" t="str">
        <f>IF(OR(Meta!$B$6="",120+1&gt;Meta!$B$7*7),"",Meta!$B$6+120)</f>
        <v/>
      </c>
      <c r="D123" s="5"/>
      <c r="E123" s="20"/>
      <c r="F123" s="5"/>
      <c r="G123" s="25" t="str">
        <f t="shared" si="3"/>
        <v/>
      </c>
      <c r="H123" s="22" t="str">
        <f t="shared" si="2"/>
        <v/>
      </c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5"/>
      <c r="B124" s="5"/>
      <c r="C124" s="24" t="str">
        <f>IF(OR(Meta!$B$6="",121+1&gt;Meta!$B$7*7),"",Meta!$B$6+121)</f>
        <v/>
      </c>
      <c r="D124" s="5"/>
      <c r="E124" s="20"/>
      <c r="F124" s="5"/>
      <c r="G124" s="25" t="str">
        <f t="shared" si="3"/>
        <v/>
      </c>
      <c r="H124" s="22" t="str">
        <f t="shared" si="2"/>
        <v/>
      </c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5"/>
      <c r="B125" s="5"/>
      <c r="C125" s="24" t="str">
        <f>IF(OR(Meta!$B$6="",122+1&gt;Meta!$B$7*7),"",Meta!$B$6+122)</f>
        <v/>
      </c>
      <c r="D125" s="5"/>
      <c r="E125" s="20"/>
      <c r="F125" s="5"/>
      <c r="G125" s="25" t="str">
        <f t="shared" si="3"/>
        <v/>
      </c>
      <c r="H125" s="22" t="str">
        <f t="shared" si="2"/>
        <v/>
      </c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5"/>
      <c r="B126" s="5"/>
      <c r="C126" s="24" t="str">
        <f>IF(OR(Meta!$B$6="",123+1&gt;Meta!$B$7*7),"",Meta!$B$6+123)</f>
        <v/>
      </c>
      <c r="D126" s="5"/>
      <c r="E126" s="20"/>
      <c r="F126" s="5"/>
      <c r="G126" s="25" t="str">
        <f t="shared" si="3"/>
        <v/>
      </c>
      <c r="H126" s="22" t="str">
        <f t="shared" si="2"/>
        <v/>
      </c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5"/>
      <c r="B127" s="5"/>
      <c r="C127" s="24" t="str">
        <f>IF(OR(Meta!$B$6="",124+1&gt;Meta!$B$7*7),"",Meta!$B$6+124)</f>
        <v/>
      </c>
      <c r="D127" s="5"/>
      <c r="E127" s="20"/>
      <c r="F127" s="5"/>
      <c r="G127" s="25" t="str">
        <f t="shared" si="3"/>
        <v/>
      </c>
      <c r="H127" s="22" t="str">
        <f t="shared" si="2"/>
        <v/>
      </c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5"/>
      <c r="B128" s="5"/>
      <c r="C128" s="24" t="str">
        <f>IF(OR(Meta!$B$6="",125+1&gt;Meta!$B$7*7),"",Meta!$B$6+125)</f>
        <v/>
      </c>
      <c r="D128" s="5"/>
      <c r="E128" s="20"/>
      <c r="F128" s="5"/>
      <c r="G128" s="25" t="str">
        <f t="shared" si="3"/>
        <v/>
      </c>
      <c r="H128" s="22" t="str">
        <f t="shared" si="2"/>
        <v/>
      </c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5"/>
      <c r="B129" s="5"/>
      <c r="C129" s="24" t="str">
        <f>IF(OR(Meta!$B$6="",126+1&gt;Meta!$B$7*7),"",Meta!$B$6+126)</f>
        <v/>
      </c>
      <c r="D129" s="5"/>
      <c r="E129" s="20"/>
      <c r="F129" s="5"/>
      <c r="G129" s="25" t="str">
        <f t="shared" si="3"/>
        <v/>
      </c>
      <c r="H129" s="22" t="str">
        <f t="shared" si="2"/>
        <v/>
      </c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5"/>
      <c r="B130" s="5"/>
      <c r="C130" s="24" t="str">
        <f>IF(OR(Meta!$B$6="",127+1&gt;Meta!$B$7*7),"",Meta!$B$6+127)</f>
        <v/>
      </c>
      <c r="D130" s="5"/>
      <c r="E130" s="20"/>
      <c r="F130" s="5"/>
      <c r="G130" s="25" t="str">
        <f t="shared" si="3"/>
        <v/>
      </c>
      <c r="H130" s="22" t="str">
        <f t="shared" si="2"/>
        <v/>
      </c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5"/>
      <c r="B131" s="5"/>
      <c r="C131" s="24" t="str">
        <f>IF(OR(Meta!$B$6="",128+1&gt;Meta!$B$7*7),"",Meta!$B$6+128)</f>
        <v/>
      </c>
      <c r="D131" s="5"/>
      <c r="E131" s="20"/>
      <c r="F131" s="5"/>
      <c r="G131" s="25" t="str">
        <f t="shared" si="3"/>
        <v/>
      </c>
      <c r="H131" s="22" t="str">
        <f t="shared" si="2"/>
        <v/>
      </c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5"/>
      <c r="B132" s="5"/>
      <c r="C132" s="24" t="str">
        <f>IF(OR(Meta!$B$6="",129+1&gt;Meta!$B$7*7),"",Meta!$B$6+129)</f>
        <v/>
      </c>
      <c r="D132" s="5"/>
      <c r="E132" s="20"/>
      <c r="F132" s="5"/>
      <c r="G132" s="25" t="str">
        <f t="shared" si="3"/>
        <v/>
      </c>
      <c r="H132" s="22" t="str">
        <f t="shared" si="2"/>
        <v/>
      </c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5"/>
      <c r="B133" s="5"/>
      <c r="C133" s="24" t="str">
        <f>IF(OR(Meta!$B$6="",130+1&gt;Meta!$B$7*7),"",Meta!$B$6+130)</f>
        <v/>
      </c>
      <c r="D133" s="5"/>
      <c r="E133" s="20"/>
      <c r="F133" s="5"/>
      <c r="G133" s="25" t="str">
        <f t="shared" si="3"/>
        <v/>
      </c>
      <c r="H133" s="22" t="str">
        <f t="shared" si="2"/>
        <v/>
      </c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5"/>
      <c r="B134" s="5"/>
      <c r="C134" s="24" t="str">
        <f>IF(OR(Meta!$B$6="",131+1&gt;Meta!$B$7*7),"",Meta!$B$6+131)</f>
        <v/>
      </c>
      <c r="D134" s="5"/>
      <c r="E134" s="20"/>
      <c r="F134" s="5"/>
      <c r="G134" s="25" t="str">
        <f t="shared" si="3"/>
        <v/>
      </c>
      <c r="H134" s="22" t="str">
        <f t="shared" si="2"/>
        <v/>
      </c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5"/>
      <c r="B135" s="5"/>
      <c r="C135" s="24" t="str">
        <f>IF(OR(Meta!$B$6="",132+1&gt;Meta!$B$7*7),"",Meta!$B$6+132)</f>
        <v/>
      </c>
      <c r="D135" s="5"/>
      <c r="E135" s="20"/>
      <c r="F135" s="5"/>
      <c r="G135" s="25" t="str">
        <f t="shared" si="3"/>
        <v/>
      </c>
      <c r="H135" s="22" t="str">
        <f t="shared" si="2"/>
        <v/>
      </c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5"/>
      <c r="B136" s="5"/>
      <c r="C136" s="24" t="str">
        <f>IF(OR(Meta!$B$6="",133+1&gt;Meta!$B$7*7),"",Meta!$B$6+133)</f>
        <v/>
      </c>
      <c r="D136" s="5"/>
      <c r="E136" s="20"/>
      <c r="F136" s="5"/>
      <c r="G136" s="25" t="str">
        <f t="shared" si="3"/>
        <v/>
      </c>
      <c r="H136" s="22" t="str">
        <f t="shared" si="2"/>
        <v/>
      </c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5"/>
      <c r="B137" s="5"/>
      <c r="C137" s="24" t="str">
        <f>IF(OR(Meta!$B$6="",134+1&gt;Meta!$B$7*7),"",Meta!$B$6+134)</f>
        <v/>
      </c>
      <c r="D137" s="5"/>
      <c r="E137" s="20"/>
      <c r="F137" s="5"/>
      <c r="G137" s="25" t="str">
        <f t="shared" si="3"/>
        <v/>
      </c>
      <c r="H137" s="22" t="str">
        <f t="shared" si="2"/>
        <v/>
      </c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5"/>
      <c r="B138" s="5"/>
      <c r="C138" s="24" t="str">
        <f>IF(OR(Meta!$B$6="",135+1&gt;Meta!$B$7*7),"",Meta!$B$6+135)</f>
        <v/>
      </c>
      <c r="D138" s="5"/>
      <c r="E138" s="20"/>
      <c r="F138" s="5"/>
      <c r="G138" s="25" t="str">
        <f t="shared" si="3"/>
        <v/>
      </c>
      <c r="H138" s="22" t="str">
        <f t="shared" si="2"/>
        <v/>
      </c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5"/>
      <c r="B139" s="5"/>
      <c r="C139" s="24" t="str">
        <f>IF(OR(Meta!$B$6="",136+1&gt;Meta!$B$7*7),"",Meta!$B$6+136)</f>
        <v/>
      </c>
      <c r="D139" s="5"/>
      <c r="E139" s="20"/>
      <c r="F139" s="5"/>
      <c r="G139" s="25" t="str">
        <f t="shared" si="3"/>
        <v/>
      </c>
      <c r="H139" s="22" t="str">
        <f t="shared" si="2"/>
        <v/>
      </c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5"/>
      <c r="B140" s="5"/>
      <c r="C140" s="24" t="str">
        <f>IF(OR(Meta!$B$6="",137+1&gt;Meta!$B$7*7),"",Meta!$B$6+137)</f>
        <v/>
      </c>
      <c r="D140" s="5"/>
      <c r="E140" s="20"/>
      <c r="F140" s="5"/>
      <c r="G140" s="25" t="str">
        <f t="shared" si="3"/>
        <v/>
      </c>
      <c r="H140" s="22" t="str">
        <f t="shared" si="2"/>
        <v/>
      </c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5"/>
      <c r="B141" s="5"/>
      <c r="C141" s="24" t="str">
        <f>IF(OR(Meta!$B$6="",138+1&gt;Meta!$B$7*7),"",Meta!$B$6+138)</f>
        <v/>
      </c>
      <c r="D141" s="5"/>
      <c r="E141" s="20"/>
      <c r="F141" s="5"/>
      <c r="G141" s="25" t="str">
        <f t="shared" si="3"/>
        <v/>
      </c>
      <c r="H141" s="22" t="str">
        <f t="shared" si="2"/>
        <v/>
      </c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5"/>
      <c r="B142" s="5"/>
      <c r="C142" s="24" t="str">
        <f>IF(OR(Meta!$B$6="",139+1&gt;Meta!$B$7*7),"",Meta!$B$6+139)</f>
        <v/>
      </c>
      <c r="D142" s="5"/>
      <c r="E142" s="20"/>
      <c r="F142" s="5"/>
      <c r="G142" s="25" t="str">
        <f t="shared" si="3"/>
        <v/>
      </c>
      <c r="H142" s="22" t="str">
        <f t="shared" si="2"/>
        <v/>
      </c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5"/>
      <c r="B143" s="5"/>
      <c r="C143" s="24" t="str">
        <f>IF(OR(Meta!$B$6="",140+1&gt;Meta!$B$7*7),"",Meta!$B$6+140)</f>
        <v/>
      </c>
      <c r="D143" s="5"/>
      <c r="E143" s="20"/>
      <c r="F143" s="5"/>
      <c r="G143" s="25" t="str">
        <f t="shared" si="3"/>
        <v/>
      </c>
      <c r="H143" s="22" t="str">
        <f t="shared" si="2"/>
        <v/>
      </c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5"/>
      <c r="B144" s="5"/>
      <c r="C144" s="24" t="str">
        <f>IF(OR(Meta!$B$6="",141+1&gt;Meta!$B$7*7),"",Meta!$B$6+141)</f>
        <v/>
      </c>
      <c r="D144" s="5"/>
      <c r="E144" s="20"/>
      <c r="F144" s="5"/>
      <c r="G144" s="25" t="str">
        <f t="shared" si="3"/>
        <v/>
      </c>
      <c r="H144" s="22" t="str">
        <f t="shared" si="2"/>
        <v/>
      </c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5"/>
      <c r="B145" s="5"/>
      <c r="C145" s="24" t="str">
        <f>IF(OR(Meta!$B$6="",142+1&gt;Meta!$B$7*7),"",Meta!$B$6+142)</f>
        <v/>
      </c>
      <c r="D145" s="5"/>
      <c r="E145" s="20"/>
      <c r="F145" s="5"/>
      <c r="G145" s="25" t="str">
        <f t="shared" si="3"/>
        <v/>
      </c>
      <c r="H145" s="22" t="str">
        <f t="shared" si="2"/>
        <v/>
      </c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5"/>
      <c r="B146" s="5"/>
      <c r="C146" s="24" t="str">
        <f>IF(OR(Meta!$B$6="",143+1&gt;Meta!$B$7*7),"",Meta!$B$6+143)</f>
        <v/>
      </c>
      <c r="D146" s="5"/>
      <c r="E146" s="20"/>
      <c r="F146" s="5"/>
      <c r="G146" s="25" t="str">
        <f t="shared" si="3"/>
        <v/>
      </c>
      <c r="H146" s="22" t="str">
        <f t="shared" si="2"/>
        <v/>
      </c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5"/>
      <c r="B147" s="5"/>
      <c r="C147" s="24" t="str">
        <f>IF(OR(Meta!$B$6="",144+1&gt;Meta!$B$7*7),"",Meta!$B$6+144)</f>
        <v/>
      </c>
      <c r="D147" s="5"/>
      <c r="E147" s="20"/>
      <c r="F147" s="5"/>
      <c r="G147" s="25" t="str">
        <f t="shared" si="3"/>
        <v/>
      </c>
      <c r="H147" s="22" t="str">
        <f t="shared" si="2"/>
        <v/>
      </c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5"/>
      <c r="B148" s="5"/>
      <c r="C148" s="24" t="str">
        <f>IF(OR(Meta!$B$6="",145+1&gt;Meta!$B$7*7),"",Meta!$B$6+145)</f>
        <v/>
      </c>
      <c r="D148" s="5"/>
      <c r="E148" s="20"/>
      <c r="F148" s="5"/>
      <c r="G148" s="25" t="str">
        <f t="shared" si="3"/>
        <v/>
      </c>
      <c r="H148" s="22" t="str">
        <f t="shared" si="2"/>
        <v/>
      </c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5"/>
      <c r="B149" s="5"/>
      <c r="C149" s="24" t="str">
        <f>IF(OR(Meta!$B$6="",146+1&gt;Meta!$B$7*7),"",Meta!$B$6+146)</f>
        <v/>
      </c>
      <c r="D149" s="5"/>
      <c r="E149" s="20"/>
      <c r="F149" s="5"/>
      <c r="G149" s="25" t="str">
        <f t="shared" si="3"/>
        <v/>
      </c>
      <c r="H149" s="22" t="str">
        <f t="shared" si="2"/>
        <v/>
      </c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5"/>
      <c r="B150" s="5"/>
      <c r="C150" s="24" t="str">
        <f>IF(OR(Meta!$B$6="",147+1&gt;Meta!$B$7*7),"",Meta!$B$6+147)</f>
        <v/>
      </c>
      <c r="D150" s="5"/>
      <c r="E150" s="20"/>
      <c r="F150" s="5"/>
      <c r="G150" s="25" t="str">
        <f t="shared" si="3"/>
        <v/>
      </c>
      <c r="H150" s="22" t="str">
        <f t="shared" si="2"/>
        <v/>
      </c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5"/>
      <c r="B151" s="5"/>
      <c r="C151" s="24" t="str">
        <f>IF(OR(Meta!$B$6="",148+1&gt;Meta!$B$7*7),"",Meta!$B$6+148)</f>
        <v/>
      </c>
      <c r="D151" s="5"/>
      <c r="E151" s="20"/>
      <c r="F151" s="5"/>
      <c r="G151" s="25" t="str">
        <f t="shared" si="3"/>
        <v/>
      </c>
      <c r="H151" s="22" t="str">
        <f t="shared" si="2"/>
        <v/>
      </c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5"/>
      <c r="B152" s="5"/>
      <c r="C152" s="24" t="str">
        <f>IF(OR(Meta!$B$6="",149+1&gt;Meta!$B$7*7),"",Meta!$B$6+149)</f>
        <v/>
      </c>
      <c r="D152" s="5"/>
      <c r="E152" s="20"/>
      <c r="F152" s="5"/>
      <c r="G152" s="25" t="str">
        <f t="shared" si="3"/>
        <v/>
      </c>
      <c r="H152" s="22" t="str">
        <f t="shared" si="2"/>
        <v/>
      </c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5"/>
      <c r="B153" s="5"/>
      <c r="C153" s="24" t="str">
        <f>IF(OR(Meta!$B$6="",150+1&gt;Meta!$B$7*7),"",Meta!$B$6+150)</f>
        <v/>
      </c>
      <c r="D153" s="5"/>
      <c r="E153" s="20"/>
      <c r="F153" s="5"/>
      <c r="G153" s="25" t="str">
        <f t="shared" si="3"/>
        <v/>
      </c>
      <c r="H153" s="22" t="str">
        <f t="shared" si="2"/>
        <v/>
      </c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5"/>
      <c r="B154" s="5"/>
      <c r="C154" s="24" t="str">
        <f>IF(OR(Meta!$B$6="",151+1&gt;Meta!$B$7*7),"",Meta!$B$6+151)</f>
        <v/>
      </c>
      <c r="D154" s="5"/>
      <c r="E154" s="20"/>
      <c r="F154" s="5"/>
      <c r="G154" s="25" t="str">
        <f t="shared" si="3"/>
        <v/>
      </c>
      <c r="H154" s="22" t="str">
        <f t="shared" si="2"/>
        <v/>
      </c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5"/>
      <c r="B155" s="5"/>
      <c r="C155" s="24" t="str">
        <f>IF(OR(Meta!$B$6="",152+1&gt;Meta!$B$7*7),"",Meta!$B$6+152)</f>
        <v/>
      </c>
      <c r="D155" s="5"/>
      <c r="E155" s="20"/>
      <c r="F155" s="5"/>
      <c r="G155" s="25" t="str">
        <f t="shared" si="3"/>
        <v/>
      </c>
      <c r="H155" s="22" t="str">
        <f t="shared" si="2"/>
        <v/>
      </c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5"/>
      <c r="B156" s="5"/>
      <c r="C156" s="24" t="str">
        <f>IF(OR(Meta!$B$6="",153+1&gt;Meta!$B$7*7),"",Meta!$B$6+153)</f>
        <v/>
      </c>
      <c r="D156" s="5"/>
      <c r="E156" s="20"/>
      <c r="F156" s="5"/>
      <c r="G156" s="25" t="str">
        <f t="shared" si="3"/>
        <v/>
      </c>
      <c r="H156" s="22" t="str">
        <f t="shared" si="2"/>
        <v/>
      </c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5"/>
      <c r="B157" s="5"/>
      <c r="C157" s="24" t="str">
        <f>IF(OR(Meta!$B$6="",154+1&gt;Meta!$B$7*7),"",Meta!$B$6+154)</f>
        <v/>
      </c>
      <c r="D157" s="5"/>
      <c r="E157" s="20"/>
      <c r="F157" s="5"/>
      <c r="G157" s="25" t="str">
        <f t="shared" si="3"/>
        <v/>
      </c>
      <c r="H157" s="22" t="str">
        <f t="shared" si="2"/>
        <v/>
      </c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5"/>
      <c r="B158" s="5"/>
      <c r="C158" s="24" t="str">
        <f>IF(OR(Meta!$B$6="",155+1&gt;Meta!$B$7*7),"",Meta!$B$6+155)</f>
        <v/>
      </c>
      <c r="D158" s="5"/>
      <c r="E158" s="20"/>
      <c r="F158" s="5"/>
      <c r="G158" s="25" t="str">
        <f t="shared" si="3"/>
        <v/>
      </c>
      <c r="H158" s="22" t="str">
        <f t="shared" si="2"/>
        <v/>
      </c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5"/>
      <c r="B159" s="5"/>
      <c r="C159" s="24" t="str">
        <f>IF(OR(Meta!$B$6="",156+1&gt;Meta!$B$7*7),"",Meta!$B$6+156)</f>
        <v/>
      </c>
      <c r="D159" s="5"/>
      <c r="E159" s="20"/>
      <c r="F159" s="5"/>
      <c r="G159" s="25" t="str">
        <f t="shared" si="3"/>
        <v/>
      </c>
      <c r="H159" s="22" t="str">
        <f t="shared" si="2"/>
        <v/>
      </c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5"/>
      <c r="B160" s="5"/>
      <c r="C160" s="24" t="str">
        <f>IF(OR(Meta!$B$6="",157+1&gt;Meta!$B$7*7),"",Meta!$B$6+157)</f>
        <v/>
      </c>
      <c r="D160" s="5"/>
      <c r="E160" s="20"/>
      <c r="F160" s="5"/>
      <c r="G160" s="25" t="str">
        <f t="shared" si="3"/>
        <v/>
      </c>
      <c r="H160" s="22" t="str">
        <f t="shared" si="2"/>
        <v/>
      </c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5"/>
      <c r="B161" s="5"/>
      <c r="C161" s="24" t="str">
        <f>IF(OR(Meta!$B$6="",158+1&gt;Meta!$B$7*7),"",Meta!$B$6+158)</f>
        <v/>
      </c>
      <c r="D161" s="5"/>
      <c r="E161" s="20"/>
      <c r="F161" s="5"/>
      <c r="G161" s="25" t="str">
        <f t="shared" si="3"/>
        <v/>
      </c>
      <c r="H161" s="22" t="str">
        <f t="shared" si="2"/>
        <v/>
      </c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5"/>
      <c r="B162" s="5"/>
      <c r="C162" s="24" t="str">
        <f>IF(OR(Meta!$B$6="",159+1&gt;Meta!$B$7*7),"",Meta!$B$6+159)</f>
        <v/>
      </c>
      <c r="D162" s="5"/>
      <c r="E162" s="20"/>
      <c r="F162" s="5"/>
      <c r="G162" s="25" t="str">
        <f t="shared" si="3"/>
        <v/>
      </c>
      <c r="H162" s="22" t="str">
        <f t="shared" si="2"/>
        <v/>
      </c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5"/>
      <c r="B163" s="5"/>
      <c r="C163" s="24" t="str">
        <f>IF(OR(Meta!$B$6="",160+1&gt;Meta!$B$7*7),"",Meta!$B$6+160)</f>
        <v/>
      </c>
      <c r="D163" s="5"/>
      <c r="E163" s="20"/>
      <c r="F163" s="5"/>
      <c r="G163" s="25" t="str">
        <f t="shared" si="3"/>
        <v/>
      </c>
      <c r="H163" s="22" t="str">
        <f t="shared" si="2"/>
        <v/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5"/>
      <c r="B164" s="5"/>
      <c r="C164" s="24" t="str">
        <f>IF(OR(Meta!$B$6="",161+1&gt;Meta!$B$7*7),"",Meta!$B$6+161)</f>
        <v/>
      </c>
      <c r="D164" s="5"/>
      <c r="E164" s="20"/>
      <c r="F164" s="5"/>
      <c r="G164" s="25" t="str">
        <f t="shared" si="3"/>
        <v/>
      </c>
      <c r="H164" s="22" t="str">
        <f t="shared" si="2"/>
        <v/>
      </c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5"/>
      <c r="B165" s="5"/>
      <c r="C165" s="24" t="str">
        <f>IF(OR(Meta!$B$6="",162+1&gt;Meta!$B$7*7),"",Meta!$B$6+162)</f>
        <v/>
      </c>
      <c r="D165" s="5"/>
      <c r="E165" s="20"/>
      <c r="F165" s="5"/>
      <c r="G165" s="25" t="str">
        <f t="shared" si="3"/>
        <v/>
      </c>
      <c r="H165" s="22" t="str">
        <f t="shared" si="2"/>
        <v/>
      </c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5"/>
      <c r="B166" s="5"/>
      <c r="C166" s="24" t="str">
        <f>IF(OR(Meta!$B$6="",163+1&gt;Meta!$B$7*7),"",Meta!$B$6+163)</f>
        <v/>
      </c>
      <c r="D166" s="5"/>
      <c r="E166" s="20"/>
      <c r="F166" s="5"/>
      <c r="G166" s="25" t="str">
        <f t="shared" si="3"/>
        <v/>
      </c>
      <c r="H166" s="22" t="str">
        <f t="shared" si="2"/>
        <v/>
      </c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5"/>
      <c r="B167" s="5"/>
      <c r="C167" s="24" t="str">
        <f>IF(OR(Meta!$B$6="",164+1&gt;Meta!$B$7*7),"",Meta!$B$6+164)</f>
        <v/>
      </c>
      <c r="D167" s="5"/>
      <c r="E167" s="20"/>
      <c r="F167" s="5"/>
      <c r="G167" s="25" t="str">
        <f t="shared" si="3"/>
        <v/>
      </c>
      <c r="H167" s="22" t="str">
        <f t="shared" si="2"/>
        <v/>
      </c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5"/>
      <c r="B168" s="5"/>
      <c r="C168" s="24" t="str">
        <f>IF(OR(Meta!$B$6="",165+1&gt;Meta!$B$7*7),"",Meta!$B$6+165)</f>
        <v/>
      </c>
      <c r="D168" s="5"/>
      <c r="E168" s="20"/>
      <c r="F168" s="5"/>
      <c r="G168" s="25" t="str">
        <f t="shared" si="3"/>
        <v/>
      </c>
      <c r="H168" s="22" t="str">
        <f t="shared" si="2"/>
        <v/>
      </c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5"/>
      <c r="B169" s="5"/>
      <c r="C169" s="24" t="str">
        <f>IF(OR(Meta!$B$6="",166+1&gt;Meta!$B$7*7),"",Meta!$B$6+166)</f>
        <v/>
      </c>
      <c r="D169" s="5"/>
      <c r="E169" s="20"/>
      <c r="F169" s="5"/>
      <c r="G169" s="25" t="str">
        <f t="shared" si="3"/>
        <v/>
      </c>
      <c r="H169" s="22" t="str">
        <f t="shared" si="2"/>
        <v/>
      </c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5"/>
      <c r="B170" s="5"/>
      <c r="C170" s="24" t="str">
        <f>IF(OR(Meta!$B$6="",167+1&gt;Meta!$B$7*7),"",Meta!$B$6+167)</f>
        <v/>
      </c>
      <c r="D170" s="5"/>
      <c r="E170" s="20"/>
      <c r="F170" s="5"/>
      <c r="G170" s="25" t="str">
        <f t="shared" si="3"/>
        <v/>
      </c>
      <c r="H170" s="22" t="str">
        <f t="shared" si="2"/>
        <v/>
      </c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5"/>
      <c r="B171" s="5"/>
      <c r="C171" s="24" t="str">
        <f>IF(OR(Meta!$B$6="",168+1&gt;Meta!$B$7*7),"",Meta!$B$6+168)</f>
        <v/>
      </c>
      <c r="D171" s="5"/>
      <c r="E171" s="20"/>
      <c r="F171" s="5"/>
      <c r="G171" s="25" t="str">
        <f t="shared" si="3"/>
        <v/>
      </c>
      <c r="H171" s="22" t="str">
        <f t="shared" si="2"/>
        <v/>
      </c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5"/>
      <c r="B172" s="5"/>
      <c r="C172" s="24" t="str">
        <f>IF(OR(Meta!$B$6="",169+1&gt;Meta!$B$7*7),"",Meta!$B$6+169)</f>
        <v/>
      </c>
      <c r="D172" s="5"/>
      <c r="E172" s="20"/>
      <c r="F172" s="5"/>
      <c r="G172" s="25" t="str">
        <f t="shared" si="3"/>
        <v/>
      </c>
      <c r="H172" s="22" t="str">
        <f t="shared" si="2"/>
        <v/>
      </c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5"/>
      <c r="B173" s="5"/>
      <c r="C173" s="24" t="str">
        <f>IF(OR(Meta!$B$6="",170+1&gt;Meta!$B$7*7),"",Meta!$B$6+170)</f>
        <v/>
      </c>
      <c r="D173" s="5"/>
      <c r="E173" s="20"/>
      <c r="F173" s="5"/>
      <c r="G173" s="25" t="str">
        <f t="shared" si="3"/>
        <v/>
      </c>
      <c r="H173" s="22" t="str">
        <f t="shared" si="2"/>
        <v/>
      </c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5"/>
      <c r="B174" s="5"/>
      <c r="C174" s="24" t="str">
        <f>IF(OR(Meta!$B$6="",171+1&gt;Meta!$B$7*7),"",Meta!$B$6+171)</f>
        <v/>
      </c>
      <c r="D174" s="5"/>
      <c r="E174" s="20"/>
      <c r="F174" s="5"/>
      <c r="G174" s="25" t="str">
        <f t="shared" si="3"/>
        <v/>
      </c>
      <c r="H174" s="22" t="str">
        <f t="shared" si="2"/>
        <v/>
      </c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5"/>
      <c r="B175" s="5"/>
      <c r="C175" s="24" t="str">
        <f>IF(OR(Meta!$B$6="",172+1&gt;Meta!$B$7*7),"",Meta!$B$6+172)</f>
        <v/>
      </c>
      <c r="D175" s="5"/>
      <c r="E175" s="20"/>
      <c r="F175" s="5"/>
      <c r="G175" s="25" t="str">
        <f t="shared" si="3"/>
        <v/>
      </c>
      <c r="H175" s="22" t="str">
        <f t="shared" si="2"/>
        <v/>
      </c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5"/>
      <c r="B176" s="5"/>
      <c r="C176" s="24" t="str">
        <f>IF(OR(Meta!$B$6="",173+1&gt;Meta!$B$7*7),"",Meta!$B$6+173)</f>
        <v/>
      </c>
      <c r="D176" s="5"/>
      <c r="E176" s="20"/>
      <c r="F176" s="5"/>
      <c r="G176" s="25" t="str">
        <f t="shared" si="3"/>
        <v/>
      </c>
      <c r="H176" s="22" t="str">
        <f t="shared" si="2"/>
        <v/>
      </c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5"/>
      <c r="B177" s="5"/>
      <c r="C177" s="24" t="str">
        <f>IF(OR(Meta!$B$6="",174+1&gt;Meta!$B$7*7),"",Meta!$B$6+174)</f>
        <v/>
      </c>
      <c r="D177" s="5"/>
      <c r="E177" s="20"/>
      <c r="F177" s="5"/>
      <c r="G177" s="25" t="str">
        <f t="shared" si="3"/>
        <v/>
      </c>
      <c r="H177" s="22" t="str">
        <f t="shared" si="2"/>
        <v/>
      </c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5"/>
      <c r="B178" s="5"/>
      <c r="C178" s="24" t="str">
        <f>IF(OR(Meta!$B$6="",175+1&gt;Meta!$B$7*7),"",Meta!$B$6+175)</f>
        <v/>
      </c>
      <c r="D178" s="5"/>
      <c r="E178" s="20"/>
      <c r="F178" s="5"/>
      <c r="G178" s="25" t="str">
        <f t="shared" si="3"/>
        <v/>
      </c>
      <c r="H178" s="22" t="str">
        <f t="shared" si="2"/>
        <v/>
      </c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5"/>
      <c r="B179" s="5"/>
      <c r="C179" s="24" t="str">
        <f>IF(OR(Meta!$B$6="",176+1&gt;Meta!$B$7*7),"",Meta!$B$6+176)</f>
        <v/>
      </c>
      <c r="D179" s="5"/>
      <c r="E179" s="20"/>
      <c r="F179" s="5"/>
      <c r="G179" s="25" t="str">
        <f t="shared" si="3"/>
        <v/>
      </c>
      <c r="H179" s="22" t="str">
        <f t="shared" si="2"/>
        <v/>
      </c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5"/>
      <c r="B180" s="5"/>
      <c r="C180" s="24" t="str">
        <f>IF(OR(Meta!$B$6="",177+1&gt;Meta!$B$7*7),"",Meta!$B$6+177)</f>
        <v/>
      </c>
      <c r="D180" s="5"/>
      <c r="E180" s="20"/>
      <c r="F180" s="5"/>
      <c r="G180" s="25" t="str">
        <f t="shared" si="3"/>
        <v/>
      </c>
      <c r="H180" s="22" t="str">
        <f t="shared" si="2"/>
        <v/>
      </c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5"/>
      <c r="B181" s="5"/>
      <c r="C181" s="24" t="str">
        <f>IF(OR(Meta!$B$6="",178+1&gt;Meta!$B$7*7),"",Meta!$B$6+178)</f>
        <v/>
      </c>
      <c r="D181" s="5"/>
      <c r="E181" s="20"/>
      <c r="F181" s="5"/>
      <c r="G181" s="25" t="str">
        <f t="shared" si="3"/>
        <v/>
      </c>
      <c r="H181" s="22" t="str">
        <f t="shared" si="2"/>
        <v/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5"/>
      <c r="B182" s="5"/>
      <c r="C182" s="24" t="str">
        <f>IF(OR(Meta!$B$6="",179+1&gt;Meta!$B$7*7),"",Meta!$B$6+179)</f>
        <v/>
      </c>
      <c r="D182" s="5"/>
      <c r="E182" s="20"/>
      <c r="F182" s="5"/>
      <c r="G182" s="25" t="str">
        <f t="shared" si="3"/>
        <v/>
      </c>
      <c r="H182" s="22" t="str">
        <f t="shared" si="2"/>
        <v/>
      </c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5"/>
      <c r="B183" s="5"/>
      <c r="C183" s="24" t="str">
        <f>IF(OR(Meta!$B$6="",180+1&gt;Meta!$B$7*7),"",Meta!$B$6+180)</f>
        <v/>
      </c>
      <c r="D183" s="5"/>
      <c r="E183" s="20"/>
      <c r="F183" s="5"/>
      <c r="G183" s="25" t="str">
        <f t="shared" si="3"/>
        <v/>
      </c>
      <c r="H183" s="22" t="str">
        <f t="shared" si="2"/>
        <v/>
      </c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5"/>
      <c r="B184" s="5"/>
      <c r="C184" s="24" t="str">
        <f>IF(OR(Meta!$B$6="",181+1&gt;Meta!$B$7*7),"",Meta!$B$6+181)</f>
        <v/>
      </c>
      <c r="D184" s="5"/>
      <c r="E184" s="20"/>
      <c r="F184" s="5"/>
      <c r="G184" s="25" t="str">
        <f t="shared" si="3"/>
        <v/>
      </c>
      <c r="H184" s="22" t="str">
        <f t="shared" si="2"/>
        <v/>
      </c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5"/>
      <c r="B185" s="5"/>
      <c r="C185" s="24" t="str">
        <f>IF(OR(Meta!$B$6="",182+1&gt;Meta!$B$7*7),"",Meta!$B$6+182)</f>
        <v/>
      </c>
      <c r="D185" s="5"/>
      <c r="E185" s="20"/>
      <c r="F185" s="5"/>
      <c r="G185" s="25" t="str">
        <f t="shared" si="3"/>
        <v/>
      </c>
      <c r="H185" s="22" t="str">
        <f t="shared" si="2"/>
        <v/>
      </c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5"/>
      <c r="B186" s="5"/>
      <c r="C186" s="24" t="str">
        <f>IF(OR(Meta!$B$6="",183+1&gt;Meta!$B$7*7),"",Meta!$B$6+183)</f>
        <v/>
      </c>
      <c r="D186" s="5"/>
      <c r="E186" s="20"/>
      <c r="F186" s="5"/>
      <c r="G186" s="25" t="str">
        <f t="shared" si="3"/>
        <v/>
      </c>
      <c r="H186" s="22" t="str">
        <f t="shared" si="2"/>
        <v/>
      </c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5"/>
      <c r="B187" s="5"/>
      <c r="C187" s="24" t="str">
        <f>IF(OR(Meta!$B$6="",184+1&gt;Meta!$B$7*7),"",Meta!$B$6+184)</f>
        <v/>
      </c>
      <c r="D187" s="5"/>
      <c r="E187" s="20"/>
      <c r="F187" s="5"/>
      <c r="G187" s="25" t="str">
        <f t="shared" si="3"/>
        <v/>
      </c>
      <c r="H187" s="22" t="str">
        <f t="shared" si="2"/>
        <v/>
      </c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5"/>
      <c r="B188" s="5"/>
      <c r="C188" s="24" t="str">
        <f>IF(OR(Meta!$B$6="",185+1&gt;Meta!$B$7*7),"",Meta!$B$6+185)</f>
        <v/>
      </c>
      <c r="D188" s="5"/>
      <c r="E188" s="20"/>
      <c r="F188" s="5"/>
      <c r="G188" s="25" t="str">
        <f t="shared" si="3"/>
        <v/>
      </c>
      <c r="H188" s="22" t="str">
        <f t="shared" si="2"/>
        <v/>
      </c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5"/>
      <c r="B189" s="5"/>
      <c r="C189" s="24" t="str">
        <f>IF(OR(Meta!$B$6="",186+1&gt;Meta!$B$7*7),"",Meta!$B$6+186)</f>
        <v/>
      </c>
      <c r="D189" s="5"/>
      <c r="E189" s="20"/>
      <c r="F189" s="5"/>
      <c r="G189" s="25" t="str">
        <f t="shared" si="3"/>
        <v/>
      </c>
      <c r="H189" s="22" t="str">
        <f t="shared" si="2"/>
        <v/>
      </c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5"/>
      <c r="B190" s="5"/>
      <c r="C190" s="24" t="str">
        <f>IF(OR(Meta!$B$6="",187+1&gt;Meta!$B$7*7),"",Meta!$B$6+187)</f>
        <v/>
      </c>
      <c r="D190" s="5"/>
      <c r="E190" s="20"/>
      <c r="F190" s="5"/>
      <c r="G190" s="25" t="str">
        <f t="shared" si="3"/>
        <v/>
      </c>
      <c r="H190" s="22" t="str">
        <f t="shared" si="2"/>
        <v/>
      </c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5"/>
      <c r="B191" s="5"/>
      <c r="C191" s="24" t="str">
        <f>IF(OR(Meta!$B$6="",188+1&gt;Meta!$B$7*7),"",Meta!$B$6+188)</f>
        <v/>
      </c>
      <c r="D191" s="5"/>
      <c r="E191" s="20"/>
      <c r="F191" s="5"/>
      <c r="G191" s="25" t="str">
        <f t="shared" si="3"/>
        <v/>
      </c>
      <c r="H191" s="22" t="str">
        <f t="shared" si="2"/>
        <v/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5"/>
      <c r="B192" s="5"/>
      <c r="C192" s="24" t="str">
        <f>IF(OR(Meta!$B$6="",189+1&gt;Meta!$B$7*7),"",Meta!$B$6+189)</f>
        <v/>
      </c>
      <c r="D192" s="5"/>
      <c r="E192" s="20"/>
      <c r="F192" s="5"/>
      <c r="G192" s="25" t="str">
        <f t="shared" si="3"/>
        <v/>
      </c>
      <c r="H192" s="22" t="str">
        <f t="shared" si="2"/>
        <v/>
      </c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5"/>
      <c r="B193" s="5"/>
      <c r="C193" s="24" t="str">
        <f>IF(OR(Meta!$B$6="",190+1&gt;Meta!$B$7*7),"",Meta!$B$6+190)</f>
        <v/>
      </c>
      <c r="D193" s="5"/>
      <c r="E193" s="20"/>
      <c r="F193" s="5"/>
      <c r="G193" s="25" t="str">
        <f t="shared" si="3"/>
        <v/>
      </c>
      <c r="H193" s="22" t="str">
        <f t="shared" si="2"/>
        <v/>
      </c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5"/>
      <c r="B194" s="5"/>
      <c r="C194" s="24" t="str">
        <f>IF(OR(Meta!$B$6="",191+1&gt;Meta!$B$7*7),"",Meta!$B$6+191)</f>
        <v/>
      </c>
      <c r="D194" s="5"/>
      <c r="E194" s="20"/>
      <c r="F194" s="5"/>
      <c r="G194" s="25" t="str">
        <f t="shared" si="3"/>
        <v/>
      </c>
      <c r="H194" s="22" t="str">
        <f t="shared" si="2"/>
        <v/>
      </c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5"/>
      <c r="B195" s="5"/>
      <c r="C195" s="24" t="str">
        <f>IF(OR(Meta!$B$6="",192+1&gt;Meta!$B$7*7),"",Meta!$B$6+192)</f>
        <v/>
      </c>
      <c r="D195" s="5"/>
      <c r="E195" s="20"/>
      <c r="F195" s="5"/>
      <c r="G195" s="25" t="str">
        <f t="shared" si="3"/>
        <v/>
      </c>
      <c r="H195" s="22" t="str">
        <f t="shared" si="2"/>
        <v/>
      </c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5"/>
      <c r="B196" s="5"/>
      <c r="C196" s="24" t="str">
        <f>IF(OR(Meta!$B$6="",193+1&gt;Meta!$B$7*7),"",Meta!$B$6+193)</f>
        <v/>
      </c>
      <c r="D196" s="5"/>
      <c r="E196" s="20"/>
      <c r="F196" s="5"/>
      <c r="G196" s="25" t="str">
        <f t="shared" si="3"/>
        <v/>
      </c>
      <c r="H196" s="22" t="str">
        <f t="shared" si="2"/>
        <v/>
      </c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5"/>
      <c r="B197" s="5"/>
      <c r="C197" s="24" t="str">
        <f>IF(OR(Meta!$B$6="",194+1&gt;Meta!$B$7*7),"",Meta!$B$6+194)</f>
        <v/>
      </c>
      <c r="D197" s="5"/>
      <c r="E197" s="20"/>
      <c r="F197" s="5"/>
      <c r="G197" s="25" t="str">
        <f t="shared" si="3"/>
        <v/>
      </c>
      <c r="H197" s="22" t="str">
        <f t="shared" si="2"/>
        <v/>
      </c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5"/>
      <c r="B198" s="5"/>
      <c r="C198" s="24" t="str">
        <f>IF(OR(Meta!$B$6="",195+1&gt;Meta!$B$7*7),"",Meta!$B$6+195)</f>
        <v/>
      </c>
      <c r="D198" s="5"/>
      <c r="E198" s="20"/>
      <c r="F198" s="5"/>
      <c r="G198" s="25" t="str">
        <f t="shared" si="3"/>
        <v/>
      </c>
      <c r="H198" s="22" t="str">
        <f t="shared" si="2"/>
        <v/>
      </c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5"/>
      <c r="B199" s="5"/>
      <c r="C199" s="24" t="str">
        <f>IF(OR(Meta!$B$6="",196+1&gt;Meta!$B$7*7),"",Meta!$B$6+196)</f>
        <v/>
      </c>
      <c r="D199" s="5"/>
      <c r="E199" s="20"/>
      <c r="F199" s="5"/>
      <c r="G199" s="25" t="str">
        <f t="shared" si="3"/>
        <v/>
      </c>
      <c r="H199" s="22" t="str">
        <f t="shared" si="2"/>
        <v/>
      </c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5"/>
      <c r="B200" s="5"/>
      <c r="C200" s="24" t="str">
        <f>IF(OR(Meta!$B$6="",197+1&gt;Meta!$B$7*7),"",Meta!$B$6+197)</f>
        <v/>
      </c>
      <c r="D200" s="5"/>
      <c r="E200" s="20"/>
      <c r="F200" s="5"/>
      <c r="G200" s="25" t="str">
        <f t="shared" si="3"/>
        <v/>
      </c>
      <c r="H200" s="22" t="str">
        <f t="shared" si="2"/>
        <v/>
      </c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1:H1"/>
  </mergeCells>
  <conditionalFormatting sqref="G3:G37">
    <cfRule type="expression" dxfId="0" priority="1">
      <formula>$G3="En proceso"</formula>
    </cfRule>
  </conditionalFormatting>
  <conditionalFormatting sqref="G3:G37">
    <cfRule type="expression" dxfId="1" priority="2">
      <formula>$G3="En revisión"</formula>
    </cfRule>
  </conditionalFormatting>
  <conditionalFormatting sqref="G3:G37">
    <cfRule type="expression" dxfId="2" priority="3">
      <formula>$G3="Terminado"</formula>
    </cfRule>
  </conditionalFormatting>
  <dataValidations>
    <dataValidation type="list" allowBlank="1" sqref="F3:F200">
      <formula1>"En proceso,En revisión,Terminado"</formula1>
    </dataValidation>
    <dataValidation type="list" allowBlank="1" sqref="E3:E33">
      <formula1>"0,15,30,45,60,90,120"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8.0"/>
    <col customWidth="1" min="2" max="3" width="12.0"/>
    <col customWidth="1" min="4" max="10" width="10.0"/>
    <col customWidth="1" min="11" max="11" width="28.0"/>
    <col customWidth="1" min="12" max="13" width="8.71"/>
  </cols>
  <sheetData>
    <row r="1" ht="27.75" customHeight="1">
      <c r="A1" s="1" t="s">
        <v>43</v>
      </c>
      <c r="B1" s="2"/>
      <c r="C1" s="2"/>
      <c r="D1" s="2"/>
      <c r="E1" s="2"/>
      <c r="F1" s="2"/>
      <c r="G1" s="2"/>
      <c r="H1" s="2"/>
      <c r="I1" s="2"/>
      <c r="J1" s="2"/>
      <c r="K1" s="3"/>
      <c r="L1" s="5"/>
      <c r="M1" s="5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9.5" customHeight="1">
      <c r="A2" s="14" t="s">
        <v>15</v>
      </c>
      <c r="B2" s="14" t="s">
        <v>44</v>
      </c>
      <c r="C2" s="14" t="s">
        <v>45</v>
      </c>
      <c r="D2" s="14" t="s">
        <v>46</v>
      </c>
      <c r="E2" s="14" t="s">
        <v>47</v>
      </c>
      <c r="F2" s="14" t="s">
        <v>33</v>
      </c>
      <c r="G2" s="14" t="s">
        <v>30</v>
      </c>
      <c r="H2" s="14" t="s">
        <v>21</v>
      </c>
      <c r="I2" s="14" t="s">
        <v>48</v>
      </c>
      <c r="J2" s="14" t="s">
        <v>49</v>
      </c>
      <c r="K2" s="14" t="s">
        <v>50</v>
      </c>
      <c r="L2" s="26"/>
      <c r="M2" s="26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18">
        <v>1.0</v>
      </c>
      <c r="B3" s="19">
        <f>IF($A3="","",Meta!$B$6 + ($A3-1)*7)</f>
        <v>46113</v>
      </c>
      <c r="C3" s="19">
        <f t="shared" ref="C3:C7" si="1">IF($A3="","",$B3+6)</f>
        <v>46119</v>
      </c>
      <c r="D3" s="18">
        <f>COUNTIFS(Diario!$A$3:$A$33,$A3,Diario!$D$3:$D$33,"&lt;&gt;")</f>
        <v>7</v>
      </c>
      <c r="E3" s="18">
        <f>COUNTIFS(Diario!$A$3:$A$33,$A3,Diario!$F$3:$F$33,"Terminado")</f>
        <v>2</v>
      </c>
      <c r="F3" s="18">
        <f>COUNTIFS(Diario!$A$3:$A$33,$A3,Diario!$F$3:$F$33,"En proceso")</f>
        <v>3</v>
      </c>
      <c r="G3" s="18">
        <f>COUNTIFS(Diario!$A$3:$A$33,$A3,Diario!$F$3:$F$33,"En revisión")</f>
        <v>2</v>
      </c>
      <c r="H3" s="21">
        <f>IF($D3=0,0,SUMIFS(Diario!$G$3:$G$33,Diario!$A$3:$A$33,$A3,Diario!$D$3:$D$33,"&lt;&gt;")/$D3)</f>
        <v>0.7285714286</v>
      </c>
      <c r="I3" s="27">
        <f>SUMIFS(Diario!$E$3:$E$33,Diario!$A$3:$A$33,$A3,Diario!$D$3:$D$33,"&lt;&gt;")</f>
        <v>360</v>
      </c>
      <c r="J3" s="18">
        <f t="shared" ref="J3:J7" si="2">IF(I3=0,0,I3/60)</f>
        <v>6</v>
      </c>
      <c r="K3" s="13">
        <f t="shared" ref="K3:K7" si="3">IF(J3=0,0,H3/J3)</f>
        <v>0.1214285714</v>
      </c>
      <c r="L3" s="5"/>
      <c r="M3" s="5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8">
        <v>2.0</v>
      </c>
      <c r="B4" s="19">
        <f>IF($A4="","",Meta!$B$6 + ($A4-1)*7)</f>
        <v>46120</v>
      </c>
      <c r="C4" s="19">
        <f t="shared" si="1"/>
        <v>46126</v>
      </c>
      <c r="D4" s="18">
        <f>COUNTIFS(Diario!$A$3:$A$33,$A4,Diario!$D$3:$D$33,"&lt;&gt;")</f>
        <v>3</v>
      </c>
      <c r="E4" s="18">
        <f>COUNTIFS(Diario!$A$3:$A$33,$A4,Diario!$F$3:$F$33,"Terminado")</f>
        <v>0</v>
      </c>
      <c r="F4" s="18">
        <f>COUNTIFS(Diario!$A$3:$A$33,$A4,Diario!$F$3:$F$33,"En proceso")</f>
        <v>1</v>
      </c>
      <c r="G4" s="18">
        <f>COUNTIFS(Diario!$A$3:$A$33,$A4,Diario!$F$3:$F$33,"En revisión")</f>
        <v>0</v>
      </c>
      <c r="H4" s="21">
        <f>IF($D4=0,0,SUMIFS(Diario!$G$3:$G$33,Diario!$A$3:$A$33,$A4,Diario!$D$3:$D$33,"&lt;&gt;")/$D4)</f>
        <v>0.1666666667</v>
      </c>
      <c r="I4" s="27">
        <f>SUMIFS(Diario!$E$3:$E$33,Diario!$A$3:$A$33,$A4,Diario!$D$3:$D$33,"&lt;&gt;")</f>
        <v>105</v>
      </c>
      <c r="J4" s="18">
        <f t="shared" si="2"/>
        <v>1.75</v>
      </c>
      <c r="K4" s="13">
        <f t="shared" si="3"/>
        <v>0.09523809524</v>
      </c>
      <c r="L4" s="5"/>
      <c r="M4" s="5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8">
        <v>3.0</v>
      </c>
      <c r="B5" s="19">
        <f>IF($A5="","",Meta!$B$6 + ($A5-1)*7)</f>
        <v>46127</v>
      </c>
      <c r="C5" s="19">
        <f t="shared" si="1"/>
        <v>46133</v>
      </c>
      <c r="D5" s="18">
        <f>COUNTIFS(Diario!$A$3:$A$33,$A5,Diario!$D$3:$D$33,"&lt;&gt;")</f>
        <v>0</v>
      </c>
      <c r="E5" s="18">
        <f>COUNTIFS(Diario!$A$3:$A$33,$A5,Diario!$F$3:$F$33,"Terminado")</f>
        <v>0</v>
      </c>
      <c r="F5" s="18">
        <f>COUNTIFS(Diario!$A$3:$A$33,$A5,Diario!$F$3:$F$33,"En proceso")</f>
        <v>0</v>
      </c>
      <c r="G5" s="18">
        <f>COUNTIFS(Diario!$A$3:$A$33,$A5,Diario!$F$3:$F$33,"En revisión")</f>
        <v>0</v>
      </c>
      <c r="H5" s="21">
        <f>IF($D5=0,0,SUMIFS(Diario!$G$3:$G$33,Diario!$A$3:$A$33,$A5,Diario!$D$3:$D$33,"&lt;&gt;")/$D5)</f>
        <v>0</v>
      </c>
      <c r="I5" s="27">
        <f>SUMIFS(Diario!$E$3:$E$33,Diario!$A$3:$A$33,$A5,Diario!$D$3:$D$33,"&lt;&gt;")</f>
        <v>0</v>
      </c>
      <c r="J5" s="18">
        <f t="shared" si="2"/>
        <v>0</v>
      </c>
      <c r="K5" s="13">
        <f t="shared" si="3"/>
        <v>0</v>
      </c>
      <c r="L5" s="5"/>
      <c r="M5" s="5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8">
        <v>4.0</v>
      </c>
      <c r="B6" s="19">
        <f>IF($A6="","",Meta!$B$6 + ($A6-1)*7)</f>
        <v>46134</v>
      </c>
      <c r="C6" s="19">
        <f t="shared" si="1"/>
        <v>46140</v>
      </c>
      <c r="D6" s="18">
        <f>COUNTIFS(Diario!$A$3:$A$33,$A6,Diario!$D$3:$D$33,"&lt;&gt;")</f>
        <v>0</v>
      </c>
      <c r="E6" s="18">
        <f>COUNTIFS(Diario!$A$3:$A$33,$A6,Diario!$F$3:$F$33,"Terminado")</f>
        <v>0</v>
      </c>
      <c r="F6" s="18">
        <f>COUNTIFS(Diario!$A$3:$A$33,$A6,Diario!$F$3:$F$33,"En proceso")</f>
        <v>0</v>
      </c>
      <c r="G6" s="18">
        <f>COUNTIFS(Diario!$A$3:$A$33,$A6,Diario!$F$3:$F$33,"En revisión")</f>
        <v>0</v>
      </c>
      <c r="H6" s="21">
        <f>IF($D6=0,0,SUMIFS(Diario!$G$3:$G$33,Diario!$A$3:$A$33,$A6,Diario!$D$3:$D$33,"&lt;&gt;")/$D6)</f>
        <v>0</v>
      </c>
      <c r="I6" s="27">
        <f>SUMIFS(Diario!$E$3:$E$33,Diario!$A$3:$A$33,$A6,Diario!$D$3:$D$33,"&lt;&gt;")</f>
        <v>0</v>
      </c>
      <c r="J6" s="18">
        <f t="shared" si="2"/>
        <v>0</v>
      </c>
      <c r="K6" s="13">
        <f t="shared" si="3"/>
        <v>0</v>
      </c>
      <c r="L6" s="5"/>
      <c r="M6" s="5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8">
        <v>5.0</v>
      </c>
      <c r="B7" s="19">
        <f>IF($A7="","",Meta!$B$6 + ($A7-1)*7)</f>
        <v>46141</v>
      </c>
      <c r="C7" s="19">
        <f t="shared" si="1"/>
        <v>46147</v>
      </c>
      <c r="D7" s="18">
        <f>COUNTIFS(Diario!$A$3:$A$33,$A7,Diario!$D$3:$D$33,"&lt;&gt;")</f>
        <v>0</v>
      </c>
      <c r="E7" s="18">
        <f>COUNTIFS(Diario!$A$3:$A$33,$A7,Diario!$F$3:$F$33,"Terminado")</f>
        <v>0</v>
      </c>
      <c r="F7" s="18">
        <f>COUNTIFS(Diario!$A$3:$A$33,$A7,Diario!$F$3:$F$33,"En proceso")</f>
        <v>0</v>
      </c>
      <c r="G7" s="18">
        <f>COUNTIFS(Diario!$A$3:$A$33,$A7,Diario!$F$3:$F$33,"En revisión")</f>
        <v>0</v>
      </c>
      <c r="H7" s="21">
        <f>IF($D7=0,0,SUMIFS(Diario!$G$3:$G$33,Diario!$A$3:$A$33,$A7,Diario!$D$3:$D$33,"&lt;&gt;")/$D7)</f>
        <v>0</v>
      </c>
      <c r="I7" s="27">
        <f>SUMIFS(Diario!$E$3:$E$33,Diario!$A$3:$A$33,$A7,Diario!$D$3:$D$33,"&lt;&gt;")</f>
        <v>0</v>
      </c>
      <c r="J7" s="18">
        <f t="shared" si="2"/>
        <v>0</v>
      </c>
      <c r="K7" s="13">
        <f t="shared" si="3"/>
        <v>0</v>
      </c>
      <c r="L7" s="5"/>
      <c r="M7" s="5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1:K1"/>
  </mergeCells>
  <conditionalFormatting sqref="J3:J7">
    <cfRule type="expression" dxfId="0" priority="1">
      <formula>$J3="🔵"</formula>
    </cfRule>
  </conditionalFormatting>
  <conditionalFormatting sqref="J3:J7">
    <cfRule type="expression" dxfId="1" priority="2">
      <formula>$J3="🟡"</formula>
    </cfRule>
  </conditionalFormatting>
  <conditionalFormatting sqref="J3:J7">
    <cfRule type="expression" dxfId="2" priority="3">
      <formula>$J3="🟢"</formula>
    </cfRule>
  </conditionalFormatting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8.0"/>
    <col customWidth="1" min="2" max="2" width="18.0"/>
    <col customWidth="1" min="3" max="3" width="3.0"/>
    <col customWidth="1" min="4" max="8" width="14.0"/>
    <col customWidth="1" min="9" max="10" width="8.71"/>
  </cols>
  <sheetData>
    <row r="1" ht="27.75" customHeight="1">
      <c r="A1" s="1" t="s">
        <v>51</v>
      </c>
      <c r="B1" s="2"/>
      <c r="C1" s="2"/>
      <c r="D1" s="2"/>
      <c r="E1" s="2"/>
      <c r="F1" s="2"/>
      <c r="G1" s="2"/>
      <c r="H1" s="3"/>
      <c r="I1" s="5"/>
      <c r="J1" s="5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/>
      <c r="B2" s="5"/>
      <c r="C2" s="5"/>
      <c r="D2" s="5"/>
      <c r="E2" s="5"/>
      <c r="F2" s="5"/>
      <c r="G2" s="5"/>
      <c r="H2" s="5"/>
      <c r="I2" s="5"/>
      <c r="J2" s="5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6" t="s">
        <v>52</v>
      </c>
      <c r="B3" s="18">
        <f>COUNTIF(Diario!$D$3:$D$33,"&lt;&gt;")</f>
        <v>10</v>
      </c>
      <c r="C3" s="5"/>
      <c r="D3" s="28" t="s">
        <v>53</v>
      </c>
      <c r="E3" s="5"/>
      <c r="F3" s="5"/>
      <c r="G3" s="5"/>
      <c r="H3" s="5"/>
      <c r="I3" s="5"/>
      <c r="J3" s="5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25.5" customHeight="1">
      <c r="A4" s="12" t="s">
        <v>54</v>
      </c>
      <c r="B4" s="18">
        <f>COUNTIF(Diario!$F$3:$F$33,"Terminado")</f>
        <v>2</v>
      </c>
      <c r="C4" s="5"/>
      <c r="D4" s="29">
        <f>B7</f>
        <v>0.56</v>
      </c>
      <c r="E4" s="30"/>
      <c r="F4" s="30"/>
      <c r="G4" s="30"/>
      <c r="H4" s="31"/>
      <c r="I4" s="5"/>
      <c r="J4" s="5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2" t="s">
        <v>33</v>
      </c>
      <c r="B5" s="18">
        <f>COUNTIF(Diario!$F$3:$F$33,"En proceso")</f>
        <v>4</v>
      </c>
      <c r="C5" s="5"/>
      <c r="D5" s="5"/>
      <c r="E5" s="5" t="s">
        <v>20</v>
      </c>
      <c r="F5" s="5" t="s">
        <v>55</v>
      </c>
      <c r="G5" s="5"/>
      <c r="H5" s="5"/>
      <c r="I5" s="5"/>
      <c r="J5" s="5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2" t="s">
        <v>30</v>
      </c>
      <c r="B6" s="18">
        <f>COUNTIF(Diario!$F$3:$F$33,"En revisión")</f>
        <v>2</v>
      </c>
      <c r="C6" s="5"/>
      <c r="D6" s="32" t="s">
        <v>20</v>
      </c>
      <c r="E6" s="32" t="s">
        <v>33</v>
      </c>
      <c r="F6" s="5">
        <f t="shared" ref="F6:F7" si="1">IFERROR(B5,0)</f>
        <v>4</v>
      </c>
      <c r="G6" s="5"/>
      <c r="H6" s="5"/>
      <c r="I6" s="5"/>
      <c r="J6" s="5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12" t="s">
        <v>56</v>
      </c>
      <c r="B7" s="33">
        <f>IF($B$3=0,0,SUMIFS(Diario!$G$3:$G$33,Diario!$D$3:$D$33,"&lt;&gt;")/$B$3)</f>
        <v>0.56</v>
      </c>
      <c r="C7" s="5"/>
      <c r="D7" s="34" t="s">
        <v>33</v>
      </c>
      <c r="E7" s="32" t="s">
        <v>30</v>
      </c>
      <c r="F7" s="5">
        <f t="shared" si="1"/>
        <v>2</v>
      </c>
      <c r="G7" s="5"/>
      <c r="H7" s="5"/>
      <c r="I7" s="5"/>
      <c r="J7" s="5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12" t="s">
        <v>57</v>
      </c>
      <c r="B8" s="27">
        <f>SUMIFS(Diario!$E$3:$E$33,Diario!$D$3:$D$33,"&lt;&gt;")</f>
        <v>465</v>
      </c>
      <c r="C8" s="5"/>
      <c r="D8" s="34" t="s">
        <v>30</v>
      </c>
      <c r="E8" s="32" t="s">
        <v>25</v>
      </c>
      <c r="F8" s="5">
        <f>IFERROR(B4,0)</f>
        <v>2</v>
      </c>
      <c r="G8" s="5"/>
      <c r="H8" s="5"/>
      <c r="I8" s="5"/>
      <c r="J8" s="5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/>
      <c r="B9" s="5"/>
      <c r="C9" s="5"/>
      <c r="D9" s="34" t="s">
        <v>25</v>
      </c>
      <c r="E9" s="32">
        <f>B4</f>
        <v>2</v>
      </c>
      <c r="F9" s="5"/>
      <c r="G9" s="5"/>
      <c r="H9" s="5"/>
      <c r="I9" s="5"/>
      <c r="J9" s="5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35" t="s">
        <v>58</v>
      </c>
      <c r="B10" s="36">
        <f>SUM(Semanal!J3:J7)</f>
        <v>7.75</v>
      </c>
      <c r="C10" s="5"/>
      <c r="D10" s="5"/>
      <c r="E10" s="5"/>
      <c r="F10" s="5"/>
      <c r="G10" s="5"/>
      <c r="H10" s="5"/>
      <c r="I10" s="5"/>
      <c r="J10" s="5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32" t="s">
        <v>59</v>
      </c>
      <c r="B11" s="37">
        <f>IFERROR(AVERAGE(Semanal!K3:K7),0)</f>
        <v>0.04333333333</v>
      </c>
      <c r="C11" s="5"/>
      <c r="D11" s="5"/>
      <c r="E11" s="5"/>
      <c r="F11" s="5"/>
      <c r="G11" s="5"/>
      <c r="H11" s="5"/>
      <c r="I11" s="5"/>
      <c r="J11" s="5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32" t="s">
        <v>60</v>
      </c>
      <c r="B12" s="38" t="str">
        <f>IF(B11&gt;=0.6,"🟢 Alta",IF(B11&gt;=0.35,"🟡 Media","🔴 Baja"))</f>
        <v>🔴 Baja</v>
      </c>
      <c r="C12" s="5"/>
      <c r="D12" s="5"/>
      <c r="E12" s="5"/>
      <c r="F12" s="5"/>
      <c r="G12" s="5"/>
      <c r="H12" s="5"/>
      <c r="I12" s="5"/>
      <c r="J12" s="5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32">
        <f>Semanal!A4</f>
        <v>2</v>
      </c>
      <c r="B13" s="39">
        <f>Semanal!H4</f>
        <v>0.1666666667</v>
      </c>
      <c r="C13" s="5"/>
      <c r="D13" s="5"/>
      <c r="E13" s="5"/>
      <c r="F13" s="5"/>
      <c r="G13" s="5"/>
      <c r="H13" s="5"/>
      <c r="I13" s="5"/>
      <c r="J13" s="5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32">
        <f>Semanal!A5</f>
        <v>3</v>
      </c>
      <c r="B14" s="38">
        <f>Semanal!H5</f>
        <v>0</v>
      </c>
      <c r="C14" s="5"/>
      <c r="D14" s="5"/>
      <c r="E14" s="5"/>
      <c r="F14" s="5"/>
      <c r="G14" s="5"/>
      <c r="H14" s="5"/>
      <c r="I14" s="5"/>
      <c r="J14" s="5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32">
        <f>Semanal!A6</f>
        <v>4</v>
      </c>
      <c r="B15" s="39">
        <f>Semanal!H6</f>
        <v>0</v>
      </c>
      <c r="C15" s="5"/>
      <c r="D15" s="5"/>
      <c r="E15" s="5"/>
      <c r="F15" s="5"/>
      <c r="G15" s="5"/>
      <c r="H15" s="5"/>
      <c r="I15" s="5"/>
      <c r="J15" s="5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32">
        <f>Semanal!A7</f>
        <v>5</v>
      </c>
      <c r="B16" s="39">
        <f>Semanal!H7</f>
        <v>0</v>
      </c>
      <c r="C16" s="5"/>
      <c r="D16" s="5" t="s">
        <v>15</v>
      </c>
      <c r="E16" s="5" t="s">
        <v>61</v>
      </c>
      <c r="F16" s="5"/>
      <c r="G16" s="5"/>
      <c r="H16" s="5"/>
      <c r="I16" s="5"/>
      <c r="J16" s="5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/>
      <c r="B17" s="5"/>
      <c r="C17" s="5"/>
      <c r="D17" s="5">
        <v>1.0</v>
      </c>
      <c r="E17" s="40">
        <f>IFERROR(Semanal!H3,0)</f>
        <v>0.7285714286</v>
      </c>
      <c r="F17" s="5"/>
      <c r="G17" s="5"/>
      <c r="H17" s="5"/>
      <c r="I17" s="5"/>
      <c r="J17" s="5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/>
      <c r="B18" s="5"/>
      <c r="C18" s="5"/>
      <c r="D18" s="5">
        <v>2.0</v>
      </c>
      <c r="E18" s="40">
        <f>IFERROR(Semanal!H4,0)</f>
        <v>0.1666666667</v>
      </c>
      <c r="F18" s="5"/>
      <c r="G18" s="5"/>
      <c r="H18" s="5"/>
      <c r="I18" s="5"/>
      <c r="J18" s="5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/>
      <c r="B19" s="5"/>
      <c r="C19" s="5"/>
      <c r="D19" s="5">
        <v>3.0</v>
      </c>
      <c r="E19" s="40">
        <f>IFERROR(Semanal!H5,0)</f>
        <v>0</v>
      </c>
      <c r="F19" s="5"/>
      <c r="G19" s="5"/>
      <c r="H19" s="5"/>
      <c r="I19" s="5"/>
      <c r="J19" s="5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/>
      <c r="B20" s="5"/>
      <c r="C20" s="5"/>
      <c r="D20" s="5">
        <v>4.0</v>
      </c>
      <c r="E20" s="40">
        <f>IFERROR(Semanal!H6,0)</f>
        <v>0</v>
      </c>
      <c r="F20" s="5"/>
      <c r="G20" s="5"/>
      <c r="H20" s="5"/>
      <c r="I20" s="5"/>
      <c r="J20" s="5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5"/>
      <c r="B21" s="5"/>
      <c r="C21" s="5"/>
      <c r="D21" s="5">
        <v>5.0</v>
      </c>
      <c r="E21" s="40">
        <f>IFERROR(Semanal!H7,0)</f>
        <v>0</v>
      </c>
      <c r="F21" s="5"/>
      <c r="G21" s="5"/>
      <c r="H21" s="5"/>
      <c r="I21" s="5"/>
      <c r="J21" s="5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A1:H1"/>
    <mergeCell ref="D4:H4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7" t="s">
        <v>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41">
        <v>0.003472222222222222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41">
        <v>0.006944444444444444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41">
        <v>0.01041666666666667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41">
        <v>0.01388888888888889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41">
        <v>0.01736111111111111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41">
        <v>0.02083333333333333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41">
        <v>0.02777777777777778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1">
        <v>0.03125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41">
        <v>0.04166666666666666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41">
        <v>0.05208333333333334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41">
        <v>0.0625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41">
        <v>0.08333333333333333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41">
        <v>0.1041666666666667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1">
        <v>0.125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1">
        <v>0.1666666666666667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2026-02-06T03:52:14Z</dcterms:created>
  <dc:creator>openpyxl</dc:creator>
</cp:coreProperties>
</file>